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R99" i="1" l="1"/>
  <c r="E99" i="1"/>
  <c r="S99" i="1" s="1"/>
  <c r="A99" i="1"/>
  <c r="R98" i="1"/>
  <c r="E98" i="1"/>
  <c r="S98" i="1" s="1"/>
  <c r="A98" i="1"/>
  <c r="R97" i="1"/>
  <c r="E97" i="1"/>
  <c r="S97" i="1" s="1"/>
  <c r="A97" i="1"/>
  <c r="R96" i="1"/>
  <c r="E96" i="1"/>
  <c r="S96" i="1" s="1"/>
  <c r="A96" i="1"/>
  <c r="R95" i="1"/>
  <c r="E95" i="1"/>
  <c r="S95" i="1" s="1"/>
  <c r="A95" i="1"/>
  <c r="Q94" i="1"/>
  <c r="P94" i="1"/>
  <c r="O94" i="1"/>
  <c r="N94" i="1"/>
  <c r="M94" i="1"/>
  <c r="L94" i="1"/>
  <c r="K94" i="1"/>
  <c r="J94" i="1"/>
  <c r="I94" i="1"/>
  <c r="H94" i="1"/>
  <c r="G94" i="1"/>
  <c r="F94" i="1"/>
  <c r="R94" i="1" s="1"/>
  <c r="S94" i="1" s="1"/>
  <c r="D94" i="1"/>
  <c r="C94" i="1"/>
  <c r="A94" i="1"/>
  <c r="S93" i="1"/>
  <c r="R93" i="1"/>
  <c r="S92" i="1"/>
  <c r="R92" i="1"/>
  <c r="E92" i="1"/>
  <c r="A92" i="1"/>
  <c r="S91" i="1"/>
  <c r="R91" i="1"/>
  <c r="A91" i="1"/>
  <c r="R90" i="1"/>
  <c r="S90" i="1" s="1"/>
  <c r="E90" i="1"/>
  <c r="A90" i="1"/>
  <c r="R89" i="1"/>
  <c r="S89" i="1" s="1"/>
  <c r="E89" i="1"/>
  <c r="A89" i="1"/>
  <c r="Q88" i="1"/>
  <c r="P88" i="1"/>
  <c r="O88" i="1"/>
  <c r="N88" i="1"/>
  <c r="M88" i="1"/>
  <c r="L88" i="1"/>
  <c r="K88" i="1"/>
  <c r="J88" i="1"/>
  <c r="I88" i="1"/>
  <c r="H88" i="1"/>
  <c r="G88" i="1"/>
  <c r="F88" i="1"/>
  <c r="R88" i="1" s="1"/>
  <c r="D88" i="1"/>
  <c r="C88" i="1"/>
  <c r="E88" i="1" s="1"/>
  <c r="S88" i="1" s="1"/>
  <c r="A88" i="1"/>
  <c r="R87" i="1"/>
  <c r="E87" i="1"/>
  <c r="S87" i="1" s="1"/>
  <c r="A87" i="1"/>
  <c r="R86" i="1"/>
  <c r="E86" i="1"/>
  <c r="S86" i="1" s="1"/>
  <c r="A86" i="1"/>
  <c r="R85" i="1"/>
  <c r="E85" i="1"/>
  <c r="S85" i="1" s="1"/>
  <c r="A85" i="1"/>
  <c r="R84" i="1"/>
  <c r="E84" i="1"/>
  <c r="S84" i="1" s="1"/>
  <c r="A84" i="1"/>
  <c r="R83" i="1"/>
  <c r="E83" i="1"/>
  <c r="S83" i="1" s="1"/>
  <c r="A83" i="1"/>
  <c r="Q82" i="1"/>
  <c r="P82" i="1"/>
  <c r="O82" i="1"/>
  <c r="N82" i="1"/>
  <c r="M82" i="1"/>
  <c r="L82" i="1"/>
  <c r="K82" i="1"/>
  <c r="J82" i="1"/>
  <c r="I82" i="1"/>
  <c r="H82" i="1"/>
  <c r="G82" i="1"/>
  <c r="F82" i="1"/>
  <c r="R82" i="1" s="1"/>
  <c r="D82" i="1"/>
  <c r="E82" i="1" s="1"/>
  <c r="S82" i="1" s="1"/>
  <c r="C82" i="1"/>
  <c r="A82" i="1"/>
  <c r="R81" i="1"/>
  <c r="S81" i="1" s="1"/>
  <c r="E81" i="1"/>
  <c r="A81" i="1"/>
  <c r="R80" i="1"/>
  <c r="S80" i="1" s="1"/>
  <c r="E80" i="1"/>
  <c r="A80" i="1"/>
  <c r="Q79" i="1"/>
  <c r="P79" i="1"/>
  <c r="O79" i="1"/>
  <c r="N79" i="1"/>
  <c r="M79" i="1"/>
  <c r="L79" i="1"/>
  <c r="K79" i="1"/>
  <c r="J79" i="1"/>
  <c r="I79" i="1"/>
  <c r="H79" i="1"/>
  <c r="G79" i="1"/>
  <c r="F79" i="1"/>
  <c r="R79" i="1" s="1"/>
  <c r="D79" i="1"/>
  <c r="C79" i="1"/>
  <c r="E79" i="1" s="1"/>
  <c r="A79" i="1"/>
  <c r="R78" i="1"/>
  <c r="E78" i="1"/>
  <c r="S78" i="1" s="1"/>
  <c r="A78" i="1"/>
  <c r="R77" i="1"/>
  <c r="E77" i="1"/>
  <c r="S77" i="1" s="1"/>
  <c r="A77" i="1"/>
  <c r="Q76" i="1"/>
  <c r="Q74" i="1" s="1"/>
  <c r="Q73" i="1" s="1"/>
  <c r="P76" i="1"/>
  <c r="P74" i="1" s="1"/>
  <c r="P73" i="1" s="1"/>
  <c r="O76" i="1"/>
  <c r="N76" i="1"/>
  <c r="M76" i="1"/>
  <c r="M74" i="1" s="1"/>
  <c r="M73" i="1" s="1"/>
  <c r="L76" i="1"/>
  <c r="L74" i="1" s="1"/>
  <c r="L73" i="1" s="1"/>
  <c r="K76" i="1"/>
  <c r="J76" i="1"/>
  <c r="I76" i="1"/>
  <c r="I74" i="1" s="1"/>
  <c r="I73" i="1" s="1"/>
  <c r="H76" i="1"/>
  <c r="H74" i="1" s="1"/>
  <c r="H73" i="1" s="1"/>
  <c r="G76" i="1"/>
  <c r="F76" i="1"/>
  <c r="R76" i="1" s="1"/>
  <c r="D76" i="1"/>
  <c r="D74" i="1" s="1"/>
  <c r="D73" i="1" s="1"/>
  <c r="C76" i="1"/>
  <c r="A76" i="1"/>
  <c r="R75" i="1"/>
  <c r="S75" i="1" s="1"/>
  <c r="E75" i="1"/>
  <c r="A75" i="1"/>
  <c r="O74" i="1"/>
  <c r="O73" i="1" s="1"/>
  <c r="N74" i="1"/>
  <c r="N73" i="1" s="1"/>
  <c r="K74" i="1"/>
  <c r="K73" i="1" s="1"/>
  <c r="J74" i="1"/>
  <c r="J73" i="1" s="1"/>
  <c r="G74" i="1"/>
  <c r="G73" i="1" s="1"/>
  <c r="F74" i="1"/>
  <c r="F73" i="1" s="1"/>
  <c r="C74" i="1"/>
  <c r="E74" i="1" s="1"/>
  <c r="A74" i="1"/>
  <c r="A73" i="1"/>
  <c r="R72" i="1"/>
  <c r="S72" i="1" s="1"/>
  <c r="E72" i="1"/>
  <c r="A72" i="1"/>
  <c r="R71" i="1"/>
  <c r="S71" i="1" s="1"/>
  <c r="E71" i="1"/>
  <c r="A71" i="1"/>
  <c r="R70" i="1"/>
  <c r="S70" i="1" s="1"/>
  <c r="E70" i="1"/>
  <c r="A70" i="1"/>
  <c r="R69" i="1"/>
  <c r="S69" i="1" s="1"/>
  <c r="E69" i="1"/>
  <c r="A69" i="1"/>
  <c r="Q68" i="1"/>
  <c r="P68" i="1"/>
  <c r="O68" i="1"/>
  <c r="N68" i="1"/>
  <c r="M68" i="1"/>
  <c r="L68" i="1"/>
  <c r="K68" i="1"/>
  <c r="J68" i="1"/>
  <c r="I68" i="1"/>
  <c r="H68" i="1"/>
  <c r="G68" i="1"/>
  <c r="F68" i="1"/>
  <c r="R68" i="1" s="1"/>
  <c r="D68" i="1"/>
  <c r="C68" i="1"/>
  <c r="E68" i="1" s="1"/>
  <c r="S68" i="1" s="1"/>
  <c r="A68" i="1"/>
  <c r="R67" i="1"/>
  <c r="E67" i="1"/>
  <c r="S67" i="1" s="1"/>
  <c r="A67" i="1"/>
  <c r="R66" i="1"/>
  <c r="E66" i="1"/>
  <c r="S66" i="1" s="1"/>
  <c r="A66" i="1"/>
  <c r="R65" i="1"/>
  <c r="E65" i="1"/>
  <c r="S65" i="1" s="1"/>
  <c r="A65" i="1"/>
  <c r="Q64" i="1"/>
  <c r="P64" i="1"/>
  <c r="O64" i="1"/>
  <c r="N64" i="1"/>
  <c r="M64" i="1"/>
  <c r="L64" i="1"/>
  <c r="K64" i="1"/>
  <c r="J64" i="1"/>
  <c r="I64" i="1"/>
  <c r="H64" i="1"/>
  <c r="G64" i="1"/>
  <c r="F64" i="1"/>
  <c r="R64" i="1" s="1"/>
  <c r="D64" i="1"/>
  <c r="E64" i="1" s="1"/>
  <c r="S64" i="1" s="1"/>
  <c r="C64" i="1"/>
  <c r="A64" i="1"/>
  <c r="R63" i="1"/>
  <c r="S63" i="1" s="1"/>
  <c r="E63" i="1"/>
  <c r="A63" i="1"/>
  <c r="R62" i="1"/>
  <c r="S62" i="1" s="1"/>
  <c r="E62" i="1"/>
  <c r="A62" i="1"/>
  <c r="Q61" i="1"/>
  <c r="P61" i="1"/>
  <c r="O61" i="1"/>
  <c r="N61" i="1"/>
  <c r="M61" i="1"/>
  <c r="L61" i="1"/>
  <c r="K61" i="1"/>
  <c r="J61" i="1"/>
  <c r="I61" i="1"/>
  <c r="H61" i="1"/>
  <c r="G61" i="1"/>
  <c r="F61" i="1"/>
  <c r="R61" i="1" s="1"/>
  <c r="D61" i="1"/>
  <c r="C61" i="1"/>
  <c r="E61" i="1" s="1"/>
  <c r="S61" i="1" s="1"/>
  <c r="A61" i="1"/>
  <c r="R60" i="1"/>
  <c r="E60" i="1"/>
  <c r="S60" i="1" s="1"/>
  <c r="A60" i="1"/>
  <c r="R59" i="1"/>
  <c r="E59" i="1"/>
  <c r="S59" i="1" s="1"/>
  <c r="A59" i="1"/>
  <c r="Q58" i="1"/>
  <c r="P58" i="1"/>
  <c r="P44" i="1" s="1"/>
  <c r="O58" i="1"/>
  <c r="N58" i="1"/>
  <c r="N44" i="1" s="1"/>
  <c r="M58" i="1"/>
  <c r="L58" i="1"/>
  <c r="L44" i="1" s="1"/>
  <c r="K58" i="1"/>
  <c r="J58" i="1"/>
  <c r="J44" i="1" s="1"/>
  <c r="I58" i="1"/>
  <c r="H58" i="1"/>
  <c r="H44" i="1" s="1"/>
  <c r="G58" i="1"/>
  <c r="F58" i="1"/>
  <c r="F44" i="1" s="1"/>
  <c r="R44" i="1" s="1"/>
  <c r="D58" i="1"/>
  <c r="E58" i="1" s="1"/>
  <c r="C58" i="1"/>
  <c r="A58" i="1"/>
  <c r="R57" i="1"/>
  <c r="S57" i="1" s="1"/>
  <c r="E57" i="1"/>
  <c r="A57" i="1"/>
  <c r="R56" i="1"/>
  <c r="S56" i="1" s="1"/>
  <c r="E56" i="1"/>
  <c r="A56" i="1"/>
  <c r="R55" i="1"/>
  <c r="I55" i="1"/>
  <c r="E55" i="1"/>
  <c r="S55" i="1" s="1"/>
  <c r="A55" i="1"/>
  <c r="S54" i="1"/>
  <c r="R54" i="1"/>
  <c r="E54" i="1"/>
  <c r="A54" i="1"/>
  <c r="S53" i="1"/>
  <c r="R53" i="1"/>
  <c r="E53" i="1"/>
  <c r="A53" i="1"/>
  <c r="S52" i="1"/>
  <c r="R52" i="1"/>
  <c r="E52" i="1"/>
  <c r="A52" i="1"/>
  <c r="Q51" i="1"/>
  <c r="P51" i="1"/>
  <c r="O51" i="1"/>
  <c r="N51" i="1"/>
  <c r="M51" i="1"/>
  <c r="L51" i="1"/>
  <c r="K51" i="1"/>
  <c r="J51" i="1"/>
  <c r="I51" i="1"/>
  <c r="H51" i="1"/>
  <c r="G51" i="1"/>
  <c r="F51" i="1"/>
  <c r="R51" i="1" s="1"/>
  <c r="D51" i="1"/>
  <c r="C51" i="1"/>
  <c r="E51" i="1" s="1"/>
  <c r="A51" i="1"/>
  <c r="R50" i="1"/>
  <c r="E50" i="1"/>
  <c r="S50" i="1" s="1"/>
  <c r="A50" i="1"/>
  <c r="R49" i="1"/>
  <c r="E49" i="1"/>
  <c r="S49" i="1" s="1"/>
  <c r="A49" i="1"/>
  <c r="O48" i="1"/>
  <c r="N48" i="1"/>
  <c r="M48" i="1"/>
  <c r="K48" i="1"/>
  <c r="J48" i="1"/>
  <c r="R48" i="1" s="1"/>
  <c r="I48" i="1"/>
  <c r="E48" i="1"/>
  <c r="S48" i="1" s="1"/>
  <c r="A48" i="1"/>
  <c r="S47" i="1"/>
  <c r="R47" i="1"/>
  <c r="E47" i="1"/>
  <c r="A47" i="1"/>
  <c r="S46" i="1"/>
  <c r="R46" i="1"/>
  <c r="E46" i="1"/>
  <c r="A46" i="1"/>
  <c r="O45" i="1"/>
  <c r="N45" i="1"/>
  <c r="M45" i="1"/>
  <c r="M44" i="1" s="1"/>
  <c r="L45" i="1"/>
  <c r="K45" i="1"/>
  <c r="J45" i="1"/>
  <c r="H45" i="1"/>
  <c r="F45" i="1"/>
  <c r="R45" i="1" s="1"/>
  <c r="S45" i="1" s="1"/>
  <c r="E45" i="1"/>
  <c r="A45" i="1"/>
  <c r="Q44" i="1"/>
  <c r="O44" i="1"/>
  <c r="K44" i="1"/>
  <c r="I44" i="1"/>
  <c r="G44" i="1"/>
  <c r="C44" i="1"/>
  <c r="A44" i="1"/>
  <c r="K43" i="1"/>
  <c r="K39" i="1" s="1"/>
  <c r="K38" i="1" s="1"/>
  <c r="K37" i="1" s="1"/>
  <c r="J43" i="1"/>
  <c r="I43" i="1"/>
  <c r="H43" i="1"/>
  <c r="G43" i="1"/>
  <c r="R43" i="1" s="1"/>
  <c r="F43" i="1"/>
  <c r="E43" i="1"/>
  <c r="A43" i="1"/>
  <c r="S42" i="1"/>
  <c r="R42" i="1"/>
  <c r="E42" i="1"/>
  <c r="A42" i="1"/>
  <c r="N41" i="1"/>
  <c r="M41" i="1"/>
  <c r="L41" i="1"/>
  <c r="K41" i="1"/>
  <c r="J41" i="1"/>
  <c r="I41" i="1"/>
  <c r="H41" i="1"/>
  <c r="G41" i="1"/>
  <c r="F41" i="1"/>
  <c r="R41" i="1" s="1"/>
  <c r="S41" i="1" s="1"/>
  <c r="E41" i="1"/>
  <c r="A41" i="1"/>
  <c r="Q40" i="1"/>
  <c r="Q39" i="1" s="1"/>
  <c r="Q38" i="1" s="1"/>
  <c r="Q37" i="1" s="1"/>
  <c r="P40" i="1"/>
  <c r="P39" i="1" s="1"/>
  <c r="P38" i="1" s="1"/>
  <c r="P37" i="1" s="1"/>
  <c r="O40" i="1"/>
  <c r="N40" i="1"/>
  <c r="M40" i="1"/>
  <c r="M39" i="1" s="1"/>
  <c r="M38" i="1" s="1"/>
  <c r="M37" i="1" s="1"/>
  <c r="L40" i="1"/>
  <c r="L39" i="1" s="1"/>
  <c r="L38" i="1" s="1"/>
  <c r="L37" i="1" s="1"/>
  <c r="K40" i="1"/>
  <c r="J40" i="1"/>
  <c r="I40" i="1"/>
  <c r="I39" i="1" s="1"/>
  <c r="I38" i="1" s="1"/>
  <c r="I37" i="1" s="1"/>
  <c r="H40" i="1"/>
  <c r="H39" i="1" s="1"/>
  <c r="H38" i="1" s="1"/>
  <c r="H37" i="1" s="1"/>
  <c r="G40" i="1"/>
  <c r="F40" i="1"/>
  <c r="R40" i="1" s="1"/>
  <c r="D40" i="1"/>
  <c r="D39" i="1" s="1"/>
  <c r="C40" i="1"/>
  <c r="A40" i="1"/>
  <c r="O39" i="1"/>
  <c r="O38" i="1" s="1"/>
  <c r="O37" i="1" s="1"/>
  <c r="N39" i="1"/>
  <c r="N38" i="1" s="1"/>
  <c r="N37" i="1" s="1"/>
  <c r="J39" i="1"/>
  <c r="J38" i="1" s="1"/>
  <c r="J37" i="1" s="1"/>
  <c r="F39" i="1"/>
  <c r="F38" i="1" s="1"/>
  <c r="C39" i="1"/>
  <c r="A39" i="1"/>
  <c r="A38" i="1"/>
  <c r="R36" i="1"/>
  <c r="R35" i="1"/>
  <c r="S35" i="1" s="1"/>
  <c r="R34" i="1"/>
  <c r="S34" i="1" s="1"/>
  <c r="E34" i="1"/>
  <c r="R33" i="1"/>
  <c r="E33" i="1"/>
  <c r="S33" i="1" s="1"/>
  <c r="R32" i="1"/>
  <c r="E32" i="1"/>
  <c r="S32" i="1" s="1"/>
  <c r="S31" i="1"/>
  <c r="R31" i="1"/>
  <c r="E31" i="1"/>
  <c r="R30" i="1"/>
  <c r="S30" i="1" s="1"/>
  <c r="R29" i="1"/>
  <c r="S29" i="1" s="1"/>
  <c r="R28" i="1"/>
  <c r="S28" i="1" s="1"/>
  <c r="E28" i="1"/>
  <c r="R27" i="1"/>
  <c r="E27" i="1"/>
  <c r="S27" i="1" s="1"/>
  <c r="R26" i="1"/>
  <c r="D26" i="1"/>
  <c r="E26" i="1" s="1"/>
  <c r="S26" i="1" s="1"/>
  <c r="R25" i="1"/>
  <c r="E25" i="1"/>
  <c r="S25" i="1" s="1"/>
  <c r="S24" i="1"/>
  <c r="R24" i="1"/>
  <c r="E24" i="1"/>
  <c r="R23" i="1"/>
  <c r="S23" i="1" s="1"/>
  <c r="E23" i="1"/>
  <c r="R22" i="1"/>
  <c r="E22" i="1"/>
  <c r="S22" i="1" s="1"/>
  <c r="R21" i="1"/>
  <c r="E21" i="1"/>
  <c r="S21" i="1" s="1"/>
  <c r="Q20" i="1"/>
  <c r="P20" i="1"/>
  <c r="O20" i="1"/>
  <c r="O19" i="1" s="1"/>
  <c r="O17" i="1" s="1"/>
  <c r="N20" i="1"/>
  <c r="M20" i="1"/>
  <c r="L20" i="1"/>
  <c r="K20" i="1"/>
  <c r="J20" i="1"/>
  <c r="I20" i="1"/>
  <c r="H20" i="1"/>
  <c r="G20" i="1"/>
  <c r="F20" i="1"/>
  <c r="R20" i="1" s="1"/>
  <c r="S20" i="1" s="1"/>
  <c r="E20" i="1"/>
  <c r="D20" i="1"/>
  <c r="Q19" i="1"/>
  <c r="P19" i="1"/>
  <c r="N19" i="1"/>
  <c r="M19" i="1"/>
  <c r="L19" i="1"/>
  <c r="K19" i="1"/>
  <c r="J19" i="1"/>
  <c r="I19" i="1"/>
  <c r="H19" i="1"/>
  <c r="G19" i="1"/>
  <c r="F19" i="1"/>
  <c r="R19" i="1" s="1"/>
  <c r="R18" i="1"/>
  <c r="Q17" i="1"/>
  <c r="P17" i="1"/>
  <c r="N17" i="1"/>
  <c r="M17" i="1"/>
  <c r="L17" i="1"/>
  <c r="K17" i="1"/>
  <c r="J17" i="1"/>
  <c r="I17" i="1"/>
  <c r="H17" i="1"/>
  <c r="G17" i="1"/>
  <c r="F17" i="1"/>
  <c r="R17" i="1" s="1"/>
  <c r="A11" i="1"/>
  <c r="A10" i="1"/>
  <c r="A9" i="1"/>
  <c r="A8" i="1"/>
  <c r="A6" i="1"/>
  <c r="A4" i="1"/>
  <c r="E39" i="1" l="1"/>
  <c r="S43" i="1"/>
  <c r="E44" i="1"/>
  <c r="S44" i="1" s="1"/>
  <c r="F37" i="1"/>
  <c r="S74" i="1"/>
  <c r="S79" i="1"/>
  <c r="S51" i="1"/>
  <c r="R73" i="1"/>
  <c r="R39" i="1"/>
  <c r="R74" i="1"/>
  <c r="D19" i="1"/>
  <c r="G39" i="1"/>
  <c r="G38" i="1" s="1"/>
  <c r="G37" i="1" s="1"/>
  <c r="E40" i="1"/>
  <c r="S40" i="1" s="1"/>
  <c r="D44" i="1"/>
  <c r="D38" i="1" s="1"/>
  <c r="D37" i="1" s="1"/>
  <c r="E76" i="1"/>
  <c r="S76" i="1" s="1"/>
  <c r="R58" i="1"/>
  <c r="S58" i="1" s="1"/>
  <c r="C38" i="1"/>
  <c r="C73" i="1"/>
  <c r="E73" i="1" s="1"/>
  <c r="R37" i="1" l="1"/>
  <c r="E38" i="1"/>
  <c r="C37" i="1"/>
  <c r="E19" i="1"/>
  <c r="S19" i="1" s="1"/>
  <c r="D17" i="1"/>
  <c r="S73" i="1"/>
  <c r="R38" i="1"/>
  <c r="S39" i="1"/>
  <c r="E37" i="1" l="1"/>
  <c r="S37" i="1" s="1"/>
  <c r="C18" i="1"/>
  <c r="S38" i="1"/>
  <c r="E18" i="1" l="1"/>
  <c r="S18" i="1" s="1"/>
  <c r="C17" i="1"/>
  <c r="E17" i="1" s="1"/>
  <c r="S17" i="1" s="1"/>
</calcChain>
</file>

<file path=xl/sharedStrings.xml><?xml version="1.0" encoding="utf-8"?>
<sst xmlns="http://schemas.openxmlformats.org/spreadsheetml/2006/main" count="73" uniqueCount="53">
  <si>
    <t xml:space="preserve"> КОШТОРИС 
на 2017 рік</t>
  </si>
  <si>
    <t>_______________________________________</t>
  </si>
  <si>
    <t>(індивідуальний, зведений)</t>
  </si>
  <si>
    <t>(код за ЄДРПОУ та найменування  бюджетної установи)</t>
  </si>
  <si>
    <t>(найменування міста, району, області)</t>
  </si>
  <si>
    <t>(грн.)</t>
  </si>
  <si>
    <t>Найменування</t>
  </si>
  <si>
    <t>Код</t>
  </si>
  <si>
    <t>Усього на рік</t>
  </si>
  <si>
    <t>РАЗОМ</t>
  </si>
  <si>
    <t>касові видатки (згідно платіжних документів)</t>
  </si>
  <si>
    <t>план-факт</t>
  </si>
  <si>
    <t>Загальний фонд</t>
  </si>
  <si>
    <t>Спеціальний фонд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</si>
  <si>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</si>
  <si>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</si>
  <si>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</si>
  <si>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</si>
  <si>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</si>
  <si>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</si>
  <si>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</si>
  <si>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</si>
  <si>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</si>
  <si>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</si>
  <si>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</si>
  <si>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</si>
  <si>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2017  рік</t>
  </si>
  <si>
    <t>залишок кошторису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</si>
  <si>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</si>
  <si>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</si>
  <si>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</si>
  <si>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</si>
  <si>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</si>
  <si>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</si>
  <si>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Х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</si>
  <si>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</si>
  <si>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</si>
  <si>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</si>
  <si>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(розписати за підгрупами)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</si>
  <si>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</si>
  <si>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</si>
  <si>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</si>
  <si>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</si>
  <si>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Кошти, отримані від реалізації майнових прав на фільми, вихідні матеріали фільмів та фільмокопій, створені за бюджетні кошти як за державним замовленням, так і на умовах фінансової підтримки</t>
  </si>
  <si>
    <t>інші надходження, у тому числі:</t>
  </si>
  <si>
    <t>інші доходи (розписати за кодами класифікації доходів бюджету)</t>
  </si>
  <si>
    <t>фінансування (розписати за кодами класифікації фінансування бюджету  за типом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</si>
  <si>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</si>
  <si>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</si>
  <si>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***</t>
  </si>
  <si>
    <t>ВИДАТКИ ТА НАДАННЯ КРЕДИТІВ - усього</t>
  </si>
  <si>
    <t>-</t>
  </si>
  <si>
    <t>Сагайдацька ЗОШ І-ІІІ 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</si>
</sst>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#,##0.00_ ;\-#,##0.00\ "/>
  </numFmts>
  <fonts count="21" x14ac:knownFonts="1">
    <font>
      <sz val="11"/>
      <color theme="1"/>
      <name val="Calibri"/>
      <family val="2"/>
      <scheme val="minor"/>
    </font>
    <font>
      <b/>
      <sz val="14"/>
      <name val="Times New Roman Cyr"/>
      <family val="1"/>
      <charset val="204"/>
    </font>
    <font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charset val="204"/>
    </font>
    <font>
      <sz val="9"/>
      <name val="Times New Roman Cyr"/>
      <family val="1"/>
      <charset val="204"/>
    </font>
    <font>
      <sz val="12"/>
      <name val="Times New Roman Cyr"/>
      <family val="1"/>
      <charset val="204"/>
    </font>
    <font>
      <b/>
      <i/>
      <sz val="10"/>
      <name val="Times New Roman Cyr"/>
      <charset val="204"/>
    </font>
    <font>
      <sz val="11"/>
      <name val="Times New Roman Cyr"/>
      <charset val="204"/>
    </font>
    <font>
      <i/>
      <sz val="11"/>
      <name val="Times New Roman Cyr"/>
      <family val="1"/>
      <charset val="204"/>
    </font>
    <font>
      <i/>
      <sz val="10"/>
      <name val="Times New Roman Cyr"/>
      <family val="1"/>
      <charset val="204"/>
    </font>
    <font>
      <i/>
      <sz val="11"/>
      <name val="Times New Roman Cyr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0"/>
      <color indexed="8"/>
      <name val="Times New Roman Cyr"/>
      <family val="1"/>
      <charset val="204"/>
    </font>
    <font>
      <i/>
      <sz val="10"/>
      <color indexed="8"/>
      <name val="Times New Roman Cyr"/>
      <charset val="204"/>
    </font>
    <font>
      <b/>
      <u/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 applyProtection="1">
      <alignment horizontal="center" vertical="top"/>
      <protection locked="0"/>
    </xf>
    <xf numFmtId="0" fontId="3" fillId="0" borderId="4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7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top"/>
    </xf>
    <xf numFmtId="164" fontId="12" fillId="0" borderId="4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right"/>
    </xf>
    <xf numFmtId="2" fontId="6" fillId="0" borderId="4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 applyProtection="1">
      <alignment horizontal="right" vertical="center"/>
    </xf>
    <xf numFmtId="164" fontId="12" fillId="0" borderId="4" xfId="0" applyNumberFormat="1" applyFont="1" applyFill="1" applyBorder="1" applyAlignment="1" applyProtection="1">
      <alignment horizontal="right" vertical="center"/>
      <protection locked="0"/>
    </xf>
    <xf numFmtId="0" fontId="14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right"/>
    </xf>
    <xf numFmtId="164" fontId="15" fillId="0" borderId="4" xfId="0" applyNumberFormat="1" applyFont="1" applyFill="1" applyBorder="1" applyAlignment="1" applyProtection="1">
      <alignment horizontal="right" vertical="center"/>
    </xf>
    <xf numFmtId="164" fontId="15" fillId="0" borderId="4" xfId="0" applyNumberFormat="1" applyFont="1" applyFill="1" applyBorder="1" applyAlignment="1">
      <alignment horizontal="right" vertical="center"/>
    </xf>
    <xf numFmtId="2" fontId="16" fillId="0" borderId="4" xfId="0" applyNumberFormat="1" applyFont="1" applyFill="1" applyBorder="1" applyAlignment="1">
      <alignment horizontal="right"/>
    </xf>
    <xf numFmtId="2" fontId="17" fillId="0" borderId="4" xfId="0" applyNumberFormat="1" applyFont="1" applyFill="1" applyBorder="1" applyAlignment="1">
      <alignment horizontal="right"/>
    </xf>
    <xf numFmtId="165" fontId="16" fillId="0" borderId="4" xfId="0" applyNumberFormat="1" applyFont="1" applyFill="1" applyBorder="1" applyAlignment="1">
      <alignment horizontal="right"/>
    </xf>
    <xf numFmtId="0" fontId="18" fillId="0" borderId="4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center" vertical="top"/>
    </xf>
    <xf numFmtId="0" fontId="19" fillId="0" borderId="4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center" vertical="top"/>
    </xf>
    <xf numFmtId="164" fontId="15" fillId="0" borderId="4" xfId="0" applyNumberFormat="1" applyFont="1" applyFill="1" applyBorder="1" applyAlignment="1" applyProtection="1">
      <alignment horizontal="right" vertical="center"/>
      <protection locked="0"/>
    </xf>
    <xf numFmtId="2" fontId="12" fillId="0" borderId="4" xfId="0" applyNumberFormat="1" applyFont="1" applyFill="1" applyBorder="1" applyAlignment="1">
      <alignment horizontal="right"/>
    </xf>
    <xf numFmtId="2" fontId="13" fillId="0" borderId="4" xfId="0" applyNumberFormat="1" applyFont="1" applyFill="1" applyBorder="1" applyAlignment="1">
      <alignment horizontal="right"/>
    </xf>
    <xf numFmtId="0" fontId="18" fillId="3" borderId="4" xfId="0" applyFont="1" applyFill="1" applyBorder="1" applyAlignment="1">
      <alignment horizontal="left" wrapText="1"/>
    </xf>
    <xf numFmtId="0" fontId="12" fillId="3" borderId="4" xfId="0" applyFont="1" applyFill="1" applyBorder="1" applyAlignment="1">
      <alignment horizontal="center" vertical="top"/>
    </xf>
    <xf numFmtId="164" fontId="15" fillId="3" borderId="4" xfId="0" applyNumberFormat="1" applyFont="1" applyFill="1" applyBorder="1" applyAlignment="1" applyProtection="1">
      <alignment horizontal="right" vertical="center"/>
      <protection locked="0"/>
    </xf>
    <xf numFmtId="164" fontId="15" fillId="3" borderId="4" xfId="0" applyNumberFormat="1" applyFont="1" applyFill="1" applyBorder="1" applyAlignment="1">
      <alignment horizontal="right" vertical="center"/>
    </xf>
    <xf numFmtId="2" fontId="5" fillId="3" borderId="4" xfId="0" applyNumberFormat="1" applyFont="1" applyFill="1" applyBorder="1" applyAlignment="1">
      <alignment horizontal="right"/>
    </xf>
    <xf numFmtId="2" fontId="6" fillId="3" borderId="4" xfId="0" applyNumberFormat="1" applyFont="1" applyFill="1" applyBorder="1" applyAlignment="1">
      <alignment horizontal="right"/>
    </xf>
    <xf numFmtId="165" fontId="7" fillId="3" borderId="4" xfId="0" applyNumberFormat="1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horizontal="right"/>
    </xf>
    <xf numFmtId="2" fontId="20" fillId="0" borderId="4" xfId="0" applyNumberFormat="1" applyFont="1" applyFill="1" applyBorder="1" applyAlignment="1">
      <alignment horizontal="right"/>
    </xf>
    <xf numFmtId="2" fontId="13" fillId="0" borderId="4" xfId="0" applyNumberFormat="1" applyFont="1" applyFill="1" applyBorder="1" applyAlignment="1">
      <alignment horizontal="right" vertical="top"/>
    </xf>
    <xf numFmtId="0" fontId="12" fillId="0" borderId="4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0" fillId="0" borderId="3" xfId="0" applyFont="1" applyFill="1" applyBorder="1" applyAlignment="1" applyProtection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 applyProtection="1">
      <alignment horizontal="center" wrapText="1"/>
    </xf>
    <xf numFmtId="0" fontId="1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Alignment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&#1087;&#1082;\Users\147\Desktop\&#1057;&#1108;&#1088;&#1075;&#1108;&#1108;&#1074;&#1072;\&#1051;&#1102;&#1073;&#1072;\Koshtoris_2017%20%20&#1079;&#1085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шторис (12)"/>
      <sheetName val="кошторис (11)"/>
      <sheetName val="кошторис (10)"/>
      <sheetName val="кошторис (9)"/>
      <sheetName val="кошторис (8)"/>
      <sheetName val="кошторис (7)"/>
      <sheetName val="кошторис (6)"/>
      <sheetName val="кошторис (5)"/>
      <sheetName val="кошторис (4)"/>
      <sheetName val="кошторис (3)"/>
      <sheetName val="кошторис (2)"/>
      <sheetName val="ДовидникКВК(месн)"/>
      <sheetName val="ДовидникКПК"/>
      <sheetName val="ДовидникКФК"/>
      <sheetName val="ДовидникКВК(ГОС)"/>
      <sheetName val="Заполнить"/>
      <sheetName val="кошторис"/>
      <sheetName val="план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">
          <cell r="B2" t="str">
            <v>Відділ освіти Шишацької селищної ради</v>
          </cell>
        </row>
        <row r="3">
          <cell r="B3" t="str">
            <v>40177793</v>
          </cell>
        </row>
        <row r="4">
          <cell r="B4" t="str">
            <v>смт Шишаки  Шишацького р-ну  Полтавської обл.</v>
          </cell>
        </row>
        <row r="5">
          <cell r="B5">
            <v>2</v>
          </cell>
        </row>
        <row r="15">
          <cell r="B15" t="str">
            <v>010</v>
          </cell>
          <cell r="C15" t="str">
            <v>Орган з питань освіти</v>
          </cell>
        </row>
        <row r="16">
          <cell r="C16" t="b">
            <v>0</v>
          </cell>
        </row>
        <row r="17">
          <cell r="B17" t="str">
            <v>070201</v>
          </cell>
          <cell r="C17" t="str">
            <v>Загальноосвітні школи (в т.ч. школа-дитячий садок, інтернат при школі), спеціалізовані школи, ліцеї, гімназії, колегіуми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">
          <cell r="A1">
            <v>2000</v>
          </cell>
          <cell r="B1" t="str">
            <v>Поточні видатки</v>
          </cell>
        </row>
        <row r="2">
          <cell r="A2">
            <v>2100</v>
          </cell>
          <cell r="B2" t="str">
            <v>Оплата праці і нарахування на заробітну плату</v>
          </cell>
        </row>
        <row r="3">
          <cell r="A3">
            <v>2110</v>
          </cell>
          <cell r="B3" t="str">
            <v>Оплата праці</v>
          </cell>
        </row>
        <row r="4">
          <cell r="A4">
            <v>2111</v>
          </cell>
          <cell r="B4" t="str">
            <v>Заробітна плата</v>
          </cell>
        </row>
        <row r="5">
          <cell r="A5">
            <v>2112</v>
          </cell>
          <cell r="B5" t="str">
            <v>Грошове забезпечення військовослужбовців</v>
          </cell>
        </row>
        <row r="6">
          <cell r="A6">
            <v>2120</v>
          </cell>
          <cell r="B6" t="str">
            <v>Нарахування на оплату праці</v>
          </cell>
        </row>
        <row r="7">
          <cell r="A7">
            <v>2200</v>
          </cell>
          <cell r="B7" t="str">
            <v>Використання товарів і послуг</v>
          </cell>
        </row>
        <row r="8">
          <cell r="A8">
            <v>2210</v>
          </cell>
          <cell r="B8" t="str">
            <v>Предмети, матеріали, обладнання та інвентар</v>
          </cell>
        </row>
        <row r="9">
          <cell r="A9">
            <v>2220</v>
          </cell>
          <cell r="B9" t="str">
            <v>Медикаменти та перев'язувальні матеріали</v>
          </cell>
        </row>
        <row r="10">
          <cell r="A10">
            <v>2230</v>
          </cell>
          <cell r="B10" t="str">
            <v>Продукти харчування</v>
          </cell>
        </row>
        <row r="11">
          <cell r="A11">
            <v>2240</v>
          </cell>
          <cell r="B11" t="str">
            <v>Оплата послуг (крім комунальних)</v>
          </cell>
        </row>
        <row r="12">
          <cell r="A12">
            <v>2250</v>
          </cell>
          <cell r="B12" t="str">
            <v>Видатки на відрядження</v>
          </cell>
        </row>
        <row r="13">
          <cell r="A13">
            <v>2260</v>
          </cell>
          <cell r="B13" t="str">
            <v>Видатки та заходи спеціального призначення</v>
          </cell>
        </row>
        <row r="14">
          <cell r="A14">
            <v>2270</v>
          </cell>
          <cell r="B14" t="str">
            <v>Оплата комунальних послуг та енергоносіїв</v>
          </cell>
        </row>
        <row r="15">
          <cell r="A15">
            <v>2271</v>
          </cell>
          <cell r="B15" t="str">
            <v>Оплата теплопостачання</v>
          </cell>
        </row>
        <row r="16">
          <cell r="A16">
            <v>2272</v>
          </cell>
          <cell r="B16" t="str">
            <v>Оплата водопостачання та водовідведення</v>
          </cell>
        </row>
        <row r="17">
          <cell r="A17">
            <v>2273</v>
          </cell>
          <cell r="B17" t="str">
            <v>Оплата електроенергії</v>
          </cell>
        </row>
        <row r="18">
          <cell r="A18">
            <v>2274</v>
          </cell>
          <cell r="B18" t="str">
            <v>Оплата природного газу</v>
          </cell>
        </row>
        <row r="19">
          <cell r="A19">
            <v>2275</v>
          </cell>
          <cell r="B19" t="str">
            <v>Оплата інших енергоносіїв</v>
          </cell>
        </row>
        <row r="20">
          <cell r="A20">
            <v>2276</v>
          </cell>
          <cell r="B20" t="str">
            <v xml:space="preserve">Оплата енергосервісу </v>
          </cell>
        </row>
        <row r="21">
          <cell r="A21">
            <v>2280</v>
          </cell>
          <cell r="B21" t="str">
            <v>Дослідження і розробки, окремі заходи по реалізації державних (регіональних) програм</v>
          </cell>
        </row>
        <row r="22">
          <cell r="A22">
            <v>2281</v>
          </cell>
          <cell r="B22" t="str">
            <v>Дослідження і розробки, окремі заходи розвитку по реалізації державних (регіональних) програм</v>
          </cell>
        </row>
        <row r="23">
          <cell r="A23">
            <v>2282</v>
          </cell>
          <cell r="B23" t="str">
            <v>Окремі заходи по реалізації державних (регіональних) програм, не віднесені до заходів розвитку</v>
          </cell>
        </row>
        <row r="24">
          <cell r="A24">
            <v>2400</v>
          </cell>
          <cell r="B24" t="str">
            <v>Обслуговування боргових зобов'язань</v>
          </cell>
        </row>
        <row r="25">
          <cell r="A25">
            <v>2410</v>
          </cell>
          <cell r="B25" t="str">
            <v>Обслуговування внутрішніх боргових зобов'язань</v>
          </cell>
        </row>
        <row r="26">
          <cell r="A26">
            <v>2420</v>
          </cell>
          <cell r="B26" t="str">
            <v>Обслуговування зовнішніх боргових зобов'язань</v>
          </cell>
        </row>
        <row r="27">
          <cell r="A27">
            <v>2600</v>
          </cell>
          <cell r="B27" t="str">
            <v>Поточні трансферти</v>
          </cell>
        </row>
        <row r="28">
          <cell r="A28">
            <v>2610</v>
          </cell>
          <cell r="B28" t="str">
            <v>Субсидії та поточні трансферти підприємствам (установам, організаціям)</v>
          </cell>
        </row>
        <row r="29">
          <cell r="A29">
            <v>2620</v>
          </cell>
          <cell r="B29" t="str">
            <v>Поточні трансферти органам державного управління інших рівнів</v>
          </cell>
        </row>
        <row r="30">
          <cell r="A30">
            <v>2630</v>
          </cell>
          <cell r="B30" t="str">
            <v>Поточні трансферти урядам іноземних держав та міжнародним організаціям</v>
          </cell>
        </row>
        <row r="31">
          <cell r="A31">
            <v>2700</v>
          </cell>
          <cell r="B31" t="str">
            <v>Соціальне забезпечення</v>
          </cell>
        </row>
        <row r="32">
          <cell r="A32">
            <v>2710</v>
          </cell>
          <cell r="B32" t="str">
            <v>Виплата пенсій і допомоги</v>
          </cell>
        </row>
        <row r="33">
          <cell r="A33">
            <v>2720</v>
          </cell>
          <cell r="B33" t="str">
            <v>Стипендії</v>
          </cell>
        </row>
        <row r="34">
          <cell r="A34">
            <v>2730</v>
          </cell>
          <cell r="B34" t="str">
            <v>Інші виплати населенню</v>
          </cell>
        </row>
        <row r="35">
          <cell r="A35">
            <v>2800</v>
          </cell>
          <cell r="B35" t="str">
            <v>Інші поточні видатки</v>
          </cell>
        </row>
        <row r="36">
          <cell r="A36">
            <v>2900</v>
          </cell>
          <cell r="B36" t="str">
            <v>Позицію виключено</v>
          </cell>
        </row>
        <row r="37">
          <cell r="A37">
            <v>3000</v>
          </cell>
          <cell r="B37" t="str">
            <v>Капітальні видатки</v>
          </cell>
        </row>
        <row r="38">
          <cell r="A38">
            <v>3100</v>
          </cell>
          <cell r="B38" t="str">
            <v>Придбання основного капіталу</v>
          </cell>
        </row>
        <row r="39">
          <cell r="A39">
            <v>3110</v>
          </cell>
          <cell r="B39" t="str">
            <v>Придбання обладнання і предметів довгострокового користування</v>
          </cell>
        </row>
        <row r="40">
          <cell r="A40">
            <v>3120</v>
          </cell>
          <cell r="B40" t="str">
            <v>Капітальне будівництво (придбання)</v>
          </cell>
        </row>
        <row r="41">
          <cell r="A41">
            <v>3121</v>
          </cell>
          <cell r="B41" t="str">
            <v>Капітальне будівництво (придбання) житла</v>
          </cell>
        </row>
        <row r="42">
          <cell r="A42">
            <v>3122</v>
          </cell>
          <cell r="B42" t="str">
            <v>Капітальне будівництво (придбання) інших об'єктів</v>
          </cell>
        </row>
        <row r="43">
          <cell r="A43">
            <v>3130</v>
          </cell>
          <cell r="B43" t="str">
            <v>Капітальний ремонт</v>
          </cell>
        </row>
        <row r="44">
          <cell r="A44">
            <v>3131</v>
          </cell>
          <cell r="B44" t="str">
            <v>Капітальний ремонт житлового фонду (приміщень)</v>
          </cell>
        </row>
        <row r="45">
          <cell r="A45">
            <v>3132</v>
          </cell>
          <cell r="B45" t="str">
            <v>Капітальний ремонт інших об'єктів</v>
          </cell>
        </row>
        <row r="46">
          <cell r="A46">
            <v>3140</v>
          </cell>
          <cell r="B46" t="str">
            <v>Реконструкція та реставрація</v>
          </cell>
        </row>
        <row r="47">
          <cell r="A47">
            <v>3141</v>
          </cell>
          <cell r="B47" t="str">
            <v>Реконструкція житлового фонду (приміщень)</v>
          </cell>
        </row>
        <row r="48">
          <cell r="A48">
            <v>3142</v>
          </cell>
          <cell r="B48" t="str">
            <v>Реконструкція та реставрація інших об'єктів</v>
          </cell>
        </row>
        <row r="49">
          <cell r="A49">
            <v>3143</v>
          </cell>
          <cell r="B49" t="str">
            <v>Реставрація пам'яток культури, історії та архітектури</v>
          </cell>
        </row>
        <row r="50">
          <cell r="A50">
            <v>3150</v>
          </cell>
          <cell r="B50" t="str">
            <v>Створення державних запасів і резервів</v>
          </cell>
        </row>
        <row r="51">
          <cell r="A51">
            <v>3160</v>
          </cell>
          <cell r="B51" t="str">
            <v>Придбання землі та нематеріальних активів</v>
          </cell>
        </row>
        <row r="52">
          <cell r="A52">
            <v>3200</v>
          </cell>
          <cell r="B52" t="str">
            <v>Капітальні трансферти</v>
          </cell>
        </row>
        <row r="53">
          <cell r="A53">
            <v>3210</v>
          </cell>
          <cell r="B53" t="str">
            <v>Капітальні трансферти підприємствам (установам, організаціям)</v>
          </cell>
        </row>
        <row r="54">
          <cell r="A54">
            <v>3220</v>
          </cell>
          <cell r="B54" t="str">
            <v>Капітальні трансферти органам державного управління інших рівнів</v>
          </cell>
        </row>
        <row r="55">
          <cell r="A55">
            <v>3230</v>
          </cell>
          <cell r="B55" t="str">
            <v>Капітальні трансферти урядам іноземних держав та міжнародним організаціям</v>
          </cell>
        </row>
        <row r="56">
          <cell r="A56">
            <v>3240</v>
          </cell>
          <cell r="B56" t="str">
            <v>Капітальні трансферти населенню</v>
          </cell>
        </row>
        <row r="57">
          <cell r="A57">
            <v>9000</v>
          </cell>
          <cell r="B57" t="str">
            <v>Нерозподілені видатки</v>
          </cell>
        </row>
      </sheetData>
      <sheetData sheetId="23" refreshError="1">
        <row r="1">
          <cell r="A1">
            <v>4000</v>
          </cell>
          <cell r="B1" t="str">
            <v>Кредитування </v>
          </cell>
        </row>
        <row r="2">
          <cell r="A2">
            <v>4100</v>
          </cell>
          <cell r="B2" t="str">
            <v>Внутрішнє кредитування </v>
          </cell>
        </row>
        <row r="3">
          <cell r="A3">
            <v>4110</v>
          </cell>
          <cell r="B3" t="str">
            <v>Надання внутрішніх кредитів </v>
          </cell>
        </row>
        <row r="4">
          <cell r="A4">
            <v>4111</v>
          </cell>
          <cell r="B4" t="str">
            <v>Надання кредитів органам державного управління інших рівнів </v>
          </cell>
        </row>
        <row r="5">
          <cell r="A5">
            <v>4112</v>
          </cell>
          <cell r="B5" t="str">
            <v>Надання кредитів підприємствам, установам, організаціям </v>
          </cell>
        </row>
        <row r="6">
          <cell r="A6">
            <v>4113</v>
          </cell>
          <cell r="B6" t="str">
            <v>Надання інших внутрішніх кредитів </v>
          </cell>
        </row>
        <row r="7">
          <cell r="A7">
            <v>4120</v>
          </cell>
          <cell r="B7" t="str">
            <v>Повернення внутрішніх кредитів </v>
          </cell>
        </row>
        <row r="8">
          <cell r="A8">
            <v>4121</v>
          </cell>
          <cell r="B8" t="str">
            <v>Повернення кредитів органами державного управління інших рівнів </v>
          </cell>
        </row>
        <row r="9">
          <cell r="A9">
            <v>4122</v>
          </cell>
          <cell r="B9" t="str">
            <v>Повернення кредитів підприємствами, установами, організаціями </v>
          </cell>
        </row>
        <row r="10">
          <cell r="A10">
            <v>4123</v>
          </cell>
          <cell r="B10" t="str">
            <v>Повернення інших внутрішніх кредитів </v>
          </cell>
        </row>
        <row r="11">
          <cell r="A11">
            <v>4200</v>
          </cell>
          <cell r="B11" t="str">
            <v>Зовнішнє кредитування </v>
          </cell>
        </row>
        <row r="12">
          <cell r="A12">
            <v>4210</v>
          </cell>
          <cell r="B12" t="str">
            <v>Надання зовнішніх кредитів </v>
          </cell>
        </row>
        <row r="13">
          <cell r="A13">
            <v>4220</v>
          </cell>
          <cell r="B13" t="str">
            <v>Повернення зовнішніх кредитів 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tabSelected="1" topLeftCell="A37" workbookViewId="0">
      <selection activeCell="S37" sqref="S1:S1048576"/>
    </sheetView>
  </sheetViews>
  <sheetFormatPr defaultRowHeight="15" x14ac:dyDescent="0.25"/>
  <cols>
    <col min="1" max="1" width="34" customWidth="1"/>
    <col min="3" max="3" width="15" customWidth="1"/>
    <col min="5" max="5" width="21.42578125" customWidth="1"/>
    <col min="6" max="6" width="11.5703125" hidden="1" customWidth="1"/>
    <col min="7" max="7" width="10.85546875" hidden="1" customWidth="1"/>
    <col min="8" max="8" width="10.5703125" hidden="1" customWidth="1"/>
    <col min="9" max="9" width="11.28515625" hidden="1" customWidth="1"/>
    <col min="10" max="10" width="12.140625" hidden="1" customWidth="1"/>
    <col min="11" max="11" width="10.5703125" hidden="1" customWidth="1"/>
    <col min="12" max="12" width="10.28515625" hidden="1" customWidth="1"/>
    <col min="13" max="13" width="10.42578125" hidden="1" customWidth="1"/>
    <col min="14" max="14" width="11.7109375" hidden="1" customWidth="1"/>
    <col min="15" max="15" width="10.5703125" hidden="1" customWidth="1"/>
    <col min="16" max="17" width="0" hidden="1" customWidth="1"/>
    <col min="18" max="18" width="13" customWidth="1"/>
    <col min="19" max="19" width="13.7109375" hidden="1" customWidth="1"/>
  </cols>
  <sheetData>
    <row r="1" spans="1:19" ht="18.75" customHeight="1" x14ac:dyDescent="0.3">
      <c r="A1" s="73" t="s">
        <v>0</v>
      </c>
      <c r="B1" s="74"/>
      <c r="C1" s="74"/>
      <c r="D1" s="74"/>
      <c r="E1" s="7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</row>
    <row r="2" spans="1:19" x14ac:dyDescent="0.25">
      <c r="A2" s="75" t="s">
        <v>1</v>
      </c>
      <c r="B2" s="75"/>
      <c r="C2" s="75"/>
      <c r="D2" s="75"/>
      <c r="E2" s="7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6"/>
    </row>
    <row r="3" spans="1:19" x14ac:dyDescent="0.25">
      <c r="A3" s="76" t="s">
        <v>2</v>
      </c>
      <c r="B3" s="76"/>
      <c r="C3" s="76"/>
      <c r="D3" s="76"/>
      <c r="E3" s="76"/>
      <c r="F3" s="77"/>
      <c r="G3" s="77"/>
      <c r="H3" s="77"/>
      <c r="I3" s="77"/>
      <c r="J3" s="77"/>
      <c r="K3" s="4"/>
      <c r="L3" s="4"/>
      <c r="M3" s="4"/>
      <c r="N3" s="4"/>
      <c r="O3" s="4"/>
      <c r="P3" s="4"/>
      <c r="Q3" s="4"/>
      <c r="R3" s="5"/>
      <c r="S3" s="6"/>
    </row>
    <row r="4" spans="1:19" ht="15.75" x14ac:dyDescent="0.25">
      <c r="A4" s="78" t="str">
        <f>CONCATENATE([1]Заполнить!$B$3,"  ",[1]Заполнить!$B$2)</f>
        <v>40177793  Відділ освіти Шишацької селищної ради</v>
      </c>
      <c r="B4" s="78"/>
      <c r="C4" s="78"/>
      <c r="D4" s="78"/>
      <c r="E4" s="7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6"/>
    </row>
    <row r="5" spans="1:19" x14ac:dyDescent="0.25">
      <c r="A5" s="79" t="s">
        <v>3</v>
      </c>
      <c r="B5" s="79"/>
      <c r="C5" s="79"/>
      <c r="D5" s="79"/>
      <c r="E5" s="79"/>
      <c r="F5" s="77"/>
      <c r="G5" s="77"/>
      <c r="H5" s="77"/>
      <c r="I5" s="77"/>
      <c r="J5" s="77"/>
      <c r="K5" s="4"/>
      <c r="L5" s="4"/>
      <c r="M5" s="4"/>
      <c r="N5" s="4"/>
      <c r="O5" s="4"/>
      <c r="P5" s="4"/>
      <c r="Q5" s="4"/>
      <c r="R5" s="5"/>
      <c r="S5" s="6"/>
    </row>
    <row r="6" spans="1:19" ht="15.75" x14ac:dyDescent="0.25">
      <c r="A6" s="78" t="str">
        <f>[1]Заполнить!$B$4</f>
        <v>смт Шишаки  Шишацького р-ну  Полтавської обл.</v>
      </c>
      <c r="B6" s="78"/>
      <c r="C6" s="78"/>
      <c r="D6" s="78"/>
      <c r="E6" s="78"/>
      <c r="F6" s="77"/>
      <c r="G6" s="77"/>
      <c r="H6" s="77"/>
      <c r="I6" s="77"/>
      <c r="J6" s="77"/>
      <c r="K6" s="4"/>
      <c r="L6" s="4"/>
      <c r="M6" s="4"/>
      <c r="N6" s="4"/>
      <c r="O6" s="4"/>
      <c r="P6" s="4"/>
      <c r="Q6" s="4"/>
      <c r="R6" s="5"/>
      <c r="S6" s="6"/>
    </row>
    <row r="7" spans="1:19" x14ac:dyDescent="0.25">
      <c r="A7" s="79" t="s">
        <v>4</v>
      </c>
      <c r="B7" s="79"/>
      <c r="C7" s="79"/>
      <c r="D7" s="79"/>
      <c r="E7" s="79"/>
      <c r="F7" s="77"/>
      <c r="G7" s="77"/>
      <c r="H7" s="77"/>
      <c r="I7" s="77"/>
      <c r="J7" s="77"/>
      <c r="K7" s="4"/>
      <c r="L7" s="4"/>
      <c r="M7" s="4"/>
      <c r="N7" s="4"/>
      <c r="O7" s="4"/>
      <c r="P7" s="4"/>
      <c r="Q7" s="4"/>
      <c r="R7" s="5"/>
      <c r="S7" s="6"/>
    </row>
    <row r="8" spans="1:19" ht="15.75" x14ac:dyDescent="0.25">
      <c r="A8" s="80" t="str">
        <f>CONCATENATE("Вид бюджету  ",IF([1]Заполнить!$B$5=1,"ДЕРЖАВНИЙ","МІСЦЕВИЙ"))</f>
        <v>Вид бюджету  МІСЦЕВИЙ</v>
      </c>
      <c r="B8" s="80"/>
      <c r="C8" s="80"/>
      <c r="D8" s="80"/>
      <c r="E8" s="80"/>
      <c r="F8" s="7"/>
      <c r="G8" s="64"/>
      <c r="H8" s="64"/>
      <c r="I8" s="64"/>
      <c r="J8" s="64"/>
      <c r="K8" s="4"/>
      <c r="L8" s="4"/>
      <c r="M8" s="4"/>
      <c r="N8" s="4"/>
      <c r="O8" s="4"/>
      <c r="P8" s="4"/>
      <c r="Q8" s="4"/>
      <c r="R8" s="5"/>
      <c r="S8" s="6"/>
    </row>
    <row r="9" spans="1:19" ht="15.75" x14ac:dyDescent="0.25">
      <c r="A9" s="68" t="e">
        <f>IF([1]Заполнить!#REF!=1,CONCATENATE("код та назва відомчої класифікації видатків та кредитування бюджету   ",[1]Заполнить!$B$16,"  ",[1]Заполнить!$C$16),CONCATENATE("код та назва відомчої класифікації видатків та кредитування бюджету  ",[1]Заполнить!$B$15,"  ",[1]Заполнить!$C$15))</f>
        <v>#REF!</v>
      </c>
      <c r="B9" s="68"/>
      <c r="C9" s="68"/>
      <c r="D9" s="68"/>
      <c r="E9" s="68"/>
      <c r="F9" s="7"/>
      <c r="G9" s="64"/>
      <c r="H9" s="64"/>
      <c r="I9" s="64"/>
      <c r="J9" s="64"/>
      <c r="K9" s="4"/>
      <c r="L9" s="4"/>
      <c r="M9" s="4"/>
      <c r="N9" s="4"/>
      <c r="O9" s="4"/>
      <c r="P9" s="4"/>
      <c r="Q9" s="4"/>
      <c r="R9" s="5"/>
      <c r="S9" s="6"/>
    </row>
    <row r="10" spans="1:19" ht="15.75" customHeight="1" x14ac:dyDescent="0.25">
      <c r="A10" s="68" t="str">
        <f>IF([1]Заполнить!$B$5=1,CONCATENATE("код та назва програмної класифікації видатків та кредитування державного бюджету  ",[1]Заполнить!$B$17,"  ",[1]Заполнить!$C$17),CONCATENATE("код та назва програмної класифікації видатків та кредитування державного бюджету  "))</f>
        <v xml:space="preserve">код та назва програмної класифікації видатків та кредитування державного бюджету  </v>
      </c>
      <c r="B10" s="68"/>
      <c r="C10" s="68"/>
      <c r="D10" s="68"/>
      <c r="E10" s="68"/>
      <c r="F10" s="7"/>
      <c r="G10" s="64"/>
      <c r="H10" s="64"/>
      <c r="I10" s="64"/>
      <c r="J10" s="64"/>
      <c r="K10" s="4"/>
      <c r="L10" s="4"/>
      <c r="M10" s="4"/>
      <c r="N10" s="4"/>
      <c r="O10" s="4"/>
      <c r="P10" s="4"/>
      <c r="Q10" s="4"/>
      <c r="R10" s="5"/>
      <c r="S10" s="6"/>
    </row>
    <row r="11" spans="1:19" ht="15.75" customHeight="1" x14ac:dyDescent="0.25">
      <c r="A11" s="69" t="str">
        <f>IF([1]Заполнить!$B$5=2,CONCATENATE("(код та назва програмної класифікації видатків та кредитування місцевих бюджетів ","(код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    ",[1]Заполнить!$B$17,"  ",[1]Заполнить!$C$17,")"),CONCATENATE("(код та назва програмної класифікації видатків та кредитування місцевих бюджетів ","(код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методу)*___________",")"))</f>
        <v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    070201  Загальноосвітні школи (в т.ч. школа-дитячий садок, інтернат при школі), спеціалізовані школи, ліцеї, гімназії, колегіуми)</v>
      </c>
      <c r="B11" s="69"/>
      <c r="C11" s="69"/>
      <c r="D11" s="69"/>
      <c r="E11" s="69"/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9"/>
      <c r="S11" s="10"/>
    </row>
    <row r="12" spans="1:19" ht="15.75" x14ac:dyDescent="0.25">
      <c r="A12" s="11" t="s">
        <v>52</v>
      </c>
      <c r="B12" s="12"/>
      <c r="C12" s="13"/>
      <c r="D12" s="13"/>
      <c r="E12" s="13"/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9"/>
      <c r="S12" s="10"/>
    </row>
    <row r="13" spans="1:19" x14ac:dyDescent="0.25">
      <c r="A13" s="1"/>
      <c r="B13" s="14"/>
      <c r="C13" s="14"/>
      <c r="D13" s="14"/>
      <c r="E13" s="14" t="s">
        <v>5</v>
      </c>
      <c r="F13" s="15"/>
      <c r="G13" s="15"/>
      <c r="H13" s="15"/>
      <c r="I13" s="15"/>
      <c r="J13" s="1"/>
      <c r="K13" s="1"/>
      <c r="L13" s="1"/>
      <c r="M13" s="1"/>
      <c r="N13" s="1"/>
      <c r="O13" s="1"/>
      <c r="P13" s="1"/>
      <c r="Q13" s="1"/>
      <c r="R13" s="2"/>
      <c r="S13" s="3"/>
    </row>
    <row r="14" spans="1:19" x14ac:dyDescent="0.25">
      <c r="A14" s="70" t="s">
        <v>6</v>
      </c>
      <c r="B14" s="71" t="s">
        <v>7</v>
      </c>
      <c r="C14" s="72" t="s">
        <v>8</v>
      </c>
      <c r="D14" s="72"/>
      <c r="E14" s="71" t="s">
        <v>9</v>
      </c>
      <c r="F14" s="65" t="s">
        <v>10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16" t="s">
        <v>11</v>
      </c>
    </row>
    <row r="15" spans="1:19" ht="27" customHeight="1" x14ac:dyDescent="0.25">
      <c r="A15" s="70"/>
      <c r="B15" s="71"/>
      <c r="C15" s="63" t="s">
        <v>12</v>
      </c>
      <c r="D15" s="63" t="s">
        <v>13</v>
      </c>
      <c r="E15" s="71"/>
      <c r="F15" s="62" t="s">
        <v>14</v>
      </c>
      <c r="G15" s="62" t="s">
        <v>15</v>
      </c>
      <c r="H15" s="62" t="s">
        <v>16</v>
      </c>
      <c r="I15" s="62" t="s">
        <v>17</v>
      </c>
      <c r="J15" s="62" t="s">
        <v>18</v>
      </c>
      <c r="K15" s="62" t="s">
        <v>19</v>
      </c>
      <c r="L15" s="62" t="s">
        <v>20</v>
      </c>
      <c r="M15" s="62" t="s">
        <v>21</v>
      </c>
      <c r="N15" s="62" t="s">
        <v>22</v>
      </c>
      <c r="O15" s="62" t="s">
        <v>23</v>
      </c>
      <c r="P15" s="62" t="s">
        <v>24</v>
      </c>
      <c r="Q15" s="62" t="s">
        <v>25</v>
      </c>
      <c r="R15" s="17" t="s">
        <v>26</v>
      </c>
      <c r="S15" s="18" t="s">
        <v>27</v>
      </c>
    </row>
    <row r="16" spans="1:19" ht="14.25" customHeight="1" x14ac:dyDescent="0.25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1</v>
      </c>
      <c r="G16" s="19">
        <v>2</v>
      </c>
      <c r="H16" s="19">
        <v>3</v>
      </c>
      <c r="I16" s="19">
        <v>4</v>
      </c>
      <c r="J16" s="19">
        <v>5</v>
      </c>
      <c r="K16" s="20">
        <v>6</v>
      </c>
      <c r="L16" s="20">
        <v>7</v>
      </c>
      <c r="M16" s="20">
        <v>8</v>
      </c>
      <c r="N16" s="20">
        <v>9</v>
      </c>
      <c r="O16" s="20">
        <v>10</v>
      </c>
      <c r="P16" s="20">
        <v>11</v>
      </c>
      <c r="Q16" s="20">
        <v>12</v>
      </c>
      <c r="R16" s="21">
        <v>13</v>
      </c>
      <c r="S16" s="22">
        <v>14</v>
      </c>
    </row>
    <row r="17" spans="1:19" ht="35.25" customHeight="1" x14ac:dyDescent="0.25">
      <c r="A17" s="23" t="s">
        <v>28</v>
      </c>
      <c r="B17" s="24" t="s">
        <v>29</v>
      </c>
      <c r="C17" s="25">
        <f>C18</f>
        <v>3710838</v>
      </c>
      <c r="D17" s="25">
        <f>D19</f>
        <v>0</v>
      </c>
      <c r="E17" s="25">
        <f>C17+D17</f>
        <v>3710838</v>
      </c>
      <c r="F17" s="26">
        <f>F18+F19</f>
        <v>0</v>
      </c>
      <c r="G17" s="26">
        <f t="shared" ref="G17:Q17" si="0">G18+G19</f>
        <v>0</v>
      </c>
      <c r="H17" s="26">
        <f t="shared" si="0"/>
        <v>0</v>
      </c>
      <c r="I17" s="26">
        <f t="shared" si="0"/>
        <v>0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  <c r="N17" s="26">
        <f t="shared" si="0"/>
        <v>0</v>
      </c>
      <c r="O17" s="26">
        <f t="shared" si="0"/>
        <v>0</v>
      </c>
      <c r="P17" s="26">
        <f t="shared" si="0"/>
        <v>0</v>
      </c>
      <c r="Q17" s="26">
        <f t="shared" si="0"/>
        <v>0</v>
      </c>
      <c r="R17" s="27">
        <f>SUM(F17:Q17)</f>
        <v>0</v>
      </c>
      <c r="S17" s="28">
        <f>E17-R17</f>
        <v>3710838</v>
      </c>
    </row>
    <row r="18" spans="1:19" ht="37.5" customHeight="1" x14ac:dyDescent="0.25">
      <c r="A18" s="29" t="s">
        <v>30</v>
      </c>
      <c r="B18" s="24" t="s">
        <v>29</v>
      </c>
      <c r="C18" s="25">
        <f>C37</f>
        <v>3710838</v>
      </c>
      <c r="D18" s="25" t="s">
        <v>29</v>
      </c>
      <c r="E18" s="25">
        <f>C18</f>
        <v>3710838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>
        <f t="shared" ref="R18:R81" si="1">SUM(F18:Q18)</f>
        <v>0</v>
      </c>
      <c r="S18" s="28">
        <f t="shared" ref="S18:S81" si="2">E18-R18</f>
        <v>3710838</v>
      </c>
    </row>
    <row r="19" spans="1:19" ht="41.25" customHeight="1" x14ac:dyDescent="0.25">
      <c r="A19" s="29" t="s">
        <v>31</v>
      </c>
      <c r="B19" s="24" t="s">
        <v>29</v>
      </c>
      <c r="C19" s="25">
        <v>0</v>
      </c>
      <c r="D19" s="25">
        <f>D20+D26</f>
        <v>0</v>
      </c>
      <c r="E19" s="25">
        <f>D19</f>
        <v>0</v>
      </c>
      <c r="F19" s="26">
        <f>F20</f>
        <v>0</v>
      </c>
      <c r="G19" s="26">
        <f t="shared" ref="G19:Q20" si="3">G20</f>
        <v>0</v>
      </c>
      <c r="H19" s="26">
        <f t="shared" si="3"/>
        <v>0</v>
      </c>
      <c r="I19" s="26">
        <f t="shared" si="3"/>
        <v>0</v>
      </c>
      <c r="J19" s="26">
        <f t="shared" si="3"/>
        <v>0</v>
      </c>
      <c r="K19" s="26">
        <f t="shared" si="3"/>
        <v>0</v>
      </c>
      <c r="L19" s="26">
        <f t="shared" si="3"/>
        <v>0</v>
      </c>
      <c r="M19" s="26">
        <f t="shared" si="3"/>
        <v>0</v>
      </c>
      <c r="N19" s="26">
        <f t="shared" si="3"/>
        <v>0</v>
      </c>
      <c r="O19" s="26">
        <f t="shared" si="3"/>
        <v>0</v>
      </c>
      <c r="P19" s="26">
        <f t="shared" si="3"/>
        <v>0</v>
      </c>
      <c r="Q19" s="26">
        <f t="shared" si="3"/>
        <v>0</v>
      </c>
      <c r="R19" s="27">
        <f t="shared" si="1"/>
        <v>0</v>
      </c>
      <c r="S19" s="28">
        <f t="shared" si="2"/>
        <v>0</v>
      </c>
    </row>
    <row r="20" spans="1:19" ht="67.5" customHeight="1" x14ac:dyDescent="0.25">
      <c r="A20" s="30" t="s">
        <v>32</v>
      </c>
      <c r="B20" s="31">
        <v>25010000</v>
      </c>
      <c r="C20" s="25" t="s">
        <v>29</v>
      </c>
      <c r="D20" s="32">
        <f>SUM(D21:D24)</f>
        <v>0</v>
      </c>
      <c r="E20" s="25">
        <f t="shared" ref="E20:E34" si="4">D20</f>
        <v>0</v>
      </c>
      <c r="F20" s="26">
        <f>F21</f>
        <v>0</v>
      </c>
      <c r="G20" s="26">
        <f t="shared" si="3"/>
        <v>0</v>
      </c>
      <c r="H20" s="26">
        <f t="shared" si="3"/>
        <v>0</v>
      </c>
      <c r="I20" s="26">
        <f t="shared" si="3"/>
        <v>0</v>
      </c>
      <c r="J20" s="26">
        <f t="shared" si="3"/>
        <v>0</v>
      </c>
      <c r="K20" s="26">
        <f t="shared" si="3"/>
        <v>0</v>
      </c>
      <c r="L20" s="26">
        <f t="shared" si="3"/>
        <v>0</v>
      </c>
      <c r="M20" s="26">
        <f t="shared" si="3"/>
        <v>0</v>
      </c>
      <c r="N20" s="26">
        <f t="shared" si="3"/>
        <v>0</v>
      </c>
      <c r="O20" s="26">
        <f t="shared" si="3"/>
        <v>0</v>
      </c>
      <c r="P20" s="26">
        <f t="shared" si="3"/>
        <v>0</v>
      </c>
      <c r="Q20" s="26">
        <f t="shared" si="3"/>
        <v>0</v>
      </c>
      <c r="R20" s="27">
        <f t="shared" si="1"/>
        <v>0</v>
      </c>
      <c r="S20" s="28">
        <f t="shared" si="2"/>
        <v>0</v>
      </c>
    </row>
    <row r="21" spans="1:19" ht="74.25" customHeight="1" x14ac:dyDescent="0.25">
      <c r="A21" s="30" t="s">
        <v>33</v>
      </c>
      <c r="B21" s="31">
        <v>25010100</v>
      </c>
      <c r="C21" s="25" t="s">
        <v>34</v>
      </c>
      <c r="D21" s="33">
        <v>0</v>
      </c>
      <c r="E21" s="25">
        <f t="shared" si="4"/>
        <v>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>
        <f t="shared" si="1"/>
        <v>0</v>
      </c>
      <c r="S21" s="28">
        <f t="shared" si="2"/>
        <v>0</v>
      </c>
    </row>
    <row r="22" spans="1:19" ht="66.75" customHeight="1" x14ac:dyDescent="0.25">
      <c r="A22" s="30" t="s">
        <v>35</v>
      </c>
      <c r="B22" s="31">
        <v>25010200</v>
      </c>
      <c r="C22" s="25" t="s">
        <v>34</v>
      </c>
      <c r="D22" s="33">
        <v>0</v>
      </c>
      <c r="E22" s="25">
        <f t="shared" si="4"/>
        <v>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>
        <f t="shared" si="1"/>
        <v>0</v>
      </c>
      <c r="S22" s="28">
        <f t="shared" si="2"/>
        <v>0</v>
      </c>
    </row>
    <row r="23" spans="1:19" ht="45" customHeight="1" x14ac:dyDescent="0.25">
      <c r="A23" s="30" t="s">
        <v>36</v>
      </c>
      <c r="B23" s="31">
        <v>25010300</v>
      </c>
      <c r="C23" s="25" t="s">
        <v>34</v>
      </c>
      <c r="D23" s="33">
        <v>0</v>
      </c>
      <c r="E23" s="25">
        <f t="shared" si="4"/>
        <v>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>
        <f t="shared" si="1"/>
        <v>0</v>
      </c>
      <c r="S23" s="28">
        <f t="shared" si="2"/>
        <v>0</v>
      </c>
    </row>
    <row r="24" spans="1:19" ht="63" customHeight="1" x14ac:dyDescent="0.25">
      <c r="A24" s="30" t="s">
        <v>37</v>
      </c>
      <c r="B24" s="31">
        <v>25010400</v>
      </c>
      <c r="C24" s="25" t="s">
        <v>34</v>
      </c>
      <c r="D24" s="33">
        <v>0</v>
      </c>
      <c r="E24" s="25">
        <f t="shared" si="4"/>
        <v>0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>
        <f t="shared" si="1"/>
        <v>0</v>
      </c>
      <c r="S24" s="28">
        <f t="shared" si="2"/>
        <v>0</v>
      </c>
    </row>
    <row r="25" spans="1:19" ht="29.25" customHeight="1" x14ac:dyDescent="0.25">
      <c r="A25" s="29" t="s">
        <v>38</v>
      </c>
      <c r="B25" s="24"/>
      <c r="C25" s="25"/>
      <c r="D25" s="33">
        <v>0</v>
      </c>
      <c r="E25" s="25">
        <f t="shared" si="4"/>
        <v>0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>
        <f t="shared" si="1"/>
        <v>0</v>
      </c>
      <c r="S25" s="28">
        <f t="shared" si="2"/>
        <v>0</v>
      </c>
    </row>
    <row r="26" spans="1:19" ht="54" customHeight="1" x14ac:dyDescent="0.25">
      <c r="A26" s="30" t="s">
        <v>39</v>
      </c>
      <c r="B26" s="24">
        <v>25020000</v>
      </c>
      <c r="C26" s="25" t="s">
        <v>29</v>
      </c>
      <c r="D26" s="32">
        <f>SUM(D27:D29)</f>
        <v>0</v>
      </c>
      <c r="E26" s="25">
        <f t="shared" si="4"/>
        <v>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>
        <f t="shared" si="1"/>
        <v>0</v>
      </c>
      <c r="S26" s="28">
        <f t="shared" si="2"/>
        <v>0</v>
      </c>
    </row>
    <row r="27" spans="1:19" ht="42.75" customHeight="1" x14ac:dyDescent="0.25">
      <c r="A27" s="30" t="s">
        <v>40</v>
      </c>
      <c r="B27" s="24">
        <v>25020100</v>
      </c>
      <c r="C27" s="25" t="s">
        <v>34</v>
      </c>
      <c r="D27" s="33">
        <v>0</v>
      </c>
      <c r="E27" s="25">
        <f t="shared" si="4"/>
        <v>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>
        <f t="shared" si="1"/>
        <v>0</v>
      </c>
      <c r="S27" s="28">
        <f t="shared" si="2"/>
        <v>0</v>
      </c>
    </row>
    <row r="28" spans="1:19" ht="147.75" customHeight="1" x14ac:dyDescent="0.25">
      <c r="A28" s="30" t="s">
        <v>41</v>
      </c>
      <c r="B28" s="31">
        <v>25020200</v>
      </c>
      <c r="C28" s="25" t="s">
        <v>34</v>
      </c>
      <c r="D28" s="33">
        <v>0</v>
      </c>
      <c r="E28" s="25">
        <f t="shared" si="4"/>
        <v>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>
        <f t="shared" si="1"/>
        <v>0</v>
      </c>
      <c r="S28" s="28">
        <f t="shared" si="2"/>
        <v>0</v>
      </c>
    </row>
    <row r="29" spans="1:19" ht="109.5" customHeight="1" x14ac:dyDescent="0.25">
      <c r="A29" s="34" t="s">
        <v>42</v>
      </c>
      <c r="B29" s="31">
        <v>25020300</v>
      </c>
      <c r="C29" s="25" t="s">
        <v>34</v>
      </c>
      <c r="D29" s="33">
        <v>0</v>
      </c>
      <c r="E29" s="25">
        <v>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>
        <f t="shared" si="1"/>
        <v>0</v>
      </c>
      <c r="S29" s="28">
        <f t="shared" si="2"/>
        <v>0</v>
      </c>
    </row>
    <row r="30" spans="1:19" ht="85.5" customHeight="1" x14ac:dyDescent="0.25">
      <c r="A30" s="34" t="s">
        <v>43</v>
      </c>
      <c r="B30" s="31">
        <v>25020400</v>
      </c>
      <c r="C30" s="25" t="s">
        <v>34</v>
      </c>
      <c r="D30" s="33">
        <v>0</v>
      </c>
      <c r="E30" s="25">
        <v>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>
        <f t="shared" si="1"/>
        <v>0</v>
      </c>
      <c r="S30" s="28">
        <f t="shared" si="2"/>
        <v>0</v>
      </c>
    </row>
    <row r="31" spans="1:19" ht="29.25" customHeight="1" x14ac:dyDescent="0.25">
      <c r="A31" s="29" t="s">
        <v>38</v>
      </c>
      <c r="B31" s="24"/>
      <c r="C31" s="25"/>
      <c r="D31" s="33">
        <v>0</v>
      </c>
      <c r="E31" s="25">
        <f t="shared" si="4"/>
        <v>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>
        <f t="shared" si="1"/>
        <v>0</v>
      </c>
      <c r="S31" s="28">
        <f t="shared" si="2"/>
        <v>0</v>
      </c>
    </row>
    <row r="32" spans="1:19" ht="23.25" customHeight="1" x14ac:dyDescent="0.25">
      <c r="A32" s="30" t="s">
        <v>44</v>
      </c>
      <c r="B32" s="24"/>
      <c r="C32" s="25" t="s">
        <v>29</v>
      </c>
      <c r="D32" s="33">
        <v>0</v>
      </c>
      <c r="E32" s="25">
        <f t="shared" si="4"/>
        <v>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>
        <f t="shared" si="1"/>
        <v>0</v>
      </c>
      <c r="S32" s="28">
        <f t="shared" si="2"/>
        <v>0</v>
      </c>
    </row>
    <row r="33" spans="1:19" ht="33" customHeight="1" x14ac:dyDescent="0.25">
      <c r="A33" s="34" t="s">
        <v>45</v>
      </c>
      <c r="B33" s="24"/>
      <c r="C33" s="25" t="s">
        <v>29</v>
      </c>
      <c r="D33" s="33">
        <v>0</v>
      </c>
      <c r="E33" s="25">
        <f t="shared" si="4"/>
        <v>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>
        <f t="shared" si="1"/>
        <v>0</v>
      </c>
      <c r="S33" s="28">
        <f t="shared" si="2"/>
        <v>0</v>
      </c>
    </row>
    <row r="34" spans="1:19" ht="65.25" customHeight="1" x14ac:dyDescent="0.25">
      <c r="A34" s="30" t="s">
        <v>46</v>
      </c>
      <c r="B34" s="24"/>
      <c r="C34" s="25" t="s">
        <v>29</v>
      </c>
      <c r="D34" s="33">
        <v>0</v>
      </c>
      <c r="E34" s="25">
        <f t="shared" si="4"/>
        <v>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>
        <f t="shared" si="1"/>
        <v>0</v>
      </c>
      <c r="S34" s="28">
        <f t="shared" si="2"/>
        <v>0</v>
      </c>
    </row>
    <row r="35" spans="1:19" ht="15" customHeight="1" x14ac:dyDescent="0.25">
      <c r="A35" s="66" t="s">
        <v>47</v>
      </c>
      <c r="B35" s="24"/>
      <c r="C35" s="25" t="s">
        <v>29</v>
      </c>
      <c r="D35" s="33"/>
      <c r="E35" s="2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>
        <f t="shared" si="1"/>
        <v>0</v>
      </c>
      <c r="S35" s="28">
        <f t="shared" si="2"/>
        <v>0</v>
      </c>
    </row>
    <row r="36" spans="1:19" x14ac:dyDescent="0.25">
      <c r="A36" s="67"/>
      <c r="B36" s="24"/>
      <c r="C36" s="25" t="s">
        <v>29</v>
      </c>
      <c r="D36" s="33" t="s">
        <v>48</v>
      </c>
      <c r="E36" s="25" t="s">
        <v>48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27">
        <f t="shared" si="1"/>
        <v>0</v>
      </c>
      <c r="S36" s="28" t="s">
        <v>49</v>
      </c>
    </row>
    <row r="37" spans="1:19" ht="51" customHeight="1" x14ac:dyDescent="0.25">
      <c r="A37" s="23" t="s">
        <v>50</v>
      </c>
      <c r="B37" s="24" t="s">
        <v>29</v>
      </c>
      <c r="C37" s="36">
        <f>C38+C73+C93+C94+C98</f>
        <v>3710838</v>
      </c>
      <c r="D37" s="36">
        <f>D38+D73+D93+D94+D98</f>
        <v>0</v>
      </c>
      <c r="E37" s="37">
        <f t="shared" ref="E37:E61" si="5">SUM(C37:D37)</f>
        <v>3710838</v>
      </c>
      <c r="F37" s="38">
        <f>F38+F73+F93+F94+F98</f>
        <v>249677.58</v>
      </c>
      <c r="G37" s="38">
        <f t="shared" ref="G37:Q37" si="6">G38+G73+G93+G94+G98</f>
        <v>388570.68999999994</v>
      </c>
      <c r="H37" s="38">
        <f t="shared" si="6"/>
        <v>272568.37</v>
      </c>
      <c r="I37" s="38">
        <f t="shared" si="6"/>
        <v>392706.24</v>
      </c>
      <c r="J37" s="38">
        <f t="shared" si="6"/>
        <v>265265.56</v>
      </c>
      <c r="K37" s="38">
        <f t="shared" si="6"/>
        <v>689711.44220000005</v>
      </c>
      <c r="L37" s="38">
        <f t="shared" si="6"/>
        <v>48352.26</v>
      </c>
      <c r="M37" s="38">
        <f t="shared" si="6"/>
        <v>97278.56</v>
      </c>
      <c r="N37" s="38">
        <f t="shared" si="6"/>
        <v>323711.76</v>
      </c>
      <c r="O37" s="38">
        <f t="shared" si="6"/>
        <v>314583.69</v>
      </c>
      <c r="P37" s="38">
        <f t="shared" si="6"/>
        <v>0</v>
      </c>
      <c r="Q37" s="38">
        <f t="shared" si="6"/>
        <v>0</v>
      </c>
      <c r="R37" s="39">
        <f t="shared" si="1"/>
        <v>3042426.1521999999</v>
      </c>
      <c r="S37" s="40">
        <f t="shared" si="2"/>
        <v>668411.84780000011</v>
      </c>
    </row>
    <row r="38" spans="1:19" ht="22.5" customHeight="1" x14ac:dyDescent="0.25">
      <c r="A38" s="41" t="str">
        <f>VLOOKUP(B38,[1]ДовКЕКВ!A$1:B$65536,2,FALSE)</f>
        <v>Поточні видатки</v>
      </c>
      <c r="B38" s="42">
        <v>2000</v>
      </c>
      <c r="C38" s="36">
        <f>C39+C44+C61+C64+C68+C72</f>
        <v>3710838</v>
      </c>
      <c r="D38" s="36">
        <f>D39+D44+D61+D64+D68+D72</f>
        <v>0</v>
      </c>
      <c r="E38" s="37">
        <f t="shared" si="5"/>
        <v>3710838</v>
      </c>
      <c r="F38" s="26">
        <f>F39+F44+F61+F64+F68+F72</f>
        <v>249677.58</v>
      </c>
      <c r="G38" s="26">
        <f t="shared" ref="G38:Q38" si="7">G39+G44+G61+G64+G68+G72</f>
        <v>388570.68999999994</v>
      </c>
      <c r="H38" s="26">
        <f t="shared" si="7"/>
        <v>272568.37</v>
      </c>
      <c r="I38" s="26">
        <f t="shared" si="7"/>
        <v>392706.24</v>
      </c>
      <c r="J38" s="26">
        <f t="shared" si="7"/>
        <v>265265.56</v>
      </c>
      <c r="K38" s="26">
        <f t="shared" si="7"/>
        <v>689711.44220000005</v>
      </c>
      <c r="L38" s="26">
        <f t="shared" si="7"/>
        <v>48352.26</v>
      </c>
      <c r="M38" s="26">
        <f t="shared" si="7"/>
        <v>97278.56</v>
      </c>
      <c r="N38" s="26">
        <f t="shared" si="7"/>
        <v>323711.76</v>
      </c>
      <c r="O38" s="26">
        <f t="shared" si="7"/>
        <v>314583.69</v>
      </c>
      <c r="P38" s="26">
        <f t="shared" si="7"/>
        <v>0</v>
      </c>
      <c r="Q38" s="26">
        <f t="shared" si="7"/>
        <v>0</v>
      </c>
      <c r="R38" s="27">
        <f t="shared" si="1"/>
        <v>3042426.1521999999</v>
      </c>
      <c r="S38" s="28">
        <f t="shared" si="2"/>
        <v>668411.84780000011</v>
      </c>
    </row>
    <row r="39" spans="1:19" ht="35.25" customHeight="1" x14ac:dyDescent="0.25">
      <c r="A39" s="41" t="str">
        <f>VLOOKUP(B39,[1]ДовКЕКВ!A$1:B$65536,2,FALSE)</f>
        <v>Оплата праці і нарахування на заробітну плату</v>
      </c>
      <c r="B39" s="42">
        <v>2100</v>
      </c>
      <c r="C39" s="36">
        <f>C40+C43</f>
        <v>2983294</v>
      </c>
      <c r="D39" s="36">
        <f>D40+D43</f>
        <v>0</v>
      </c>
      <c r="E39" s="37">
        <f t="shared" si="5"/>
        <v>2983294</v>
      </c>
      <c r="F39" s="26">
        <f>F40+F43</f>
        <v>228747.24</v>
      </c>
      <c r="G39" s="26">
        <f t="shared" ref="G39:Q39" si="8">G40+G43</f>
        <v>232766.13999999998</v>
      </c>
      <c r="H39" s="26">
        <f t="shared" si="8"/>
        <v>230697.53999999998</v>
      </c>
      <c r="I39" s="26">
        <f t="shared" si="8"/>
        <v>215113.06</v>
      </c>
      <c r="J39" s="26">
        <f t="shared" si="8"/>
        <v>217522.07</v>
      </c>
      <c r="K39" s="26">
        <f t="shared" si="8"/>
        <v>649274.80000000005</v>
      </c>
      <c r="L39" s="26">
        <f t="shared" si="8"/>
        <v>33480.480000000003</v>
      </c>
      <c r="M39" s="26">
        <f t="shared" si="8"/>
        <v>63382.739999999991</v>
      </c>
      <c r="N39" s="26">
        <f t="shared" si="8"/>
        <v>285897.27</v>
      </c>
      <c r="O39" s="26">
        <f t="shared" si="8"/>
        <v>245905.93</v>
      </c>
      <c r="P39" s="26">
        <f t="shared" si="8"/>
        <v>0</v>
      </c>
      <c r="Q39" s="26">
        <f t="shared" si="8"/>
        <v>0</v>
      </c>
      <c r="R39" s="27">
        <f t="shared" si="1"/>
        <v>2402787.27</v>
      </c>
      <c r="S39" s="28">
        <f t="shared" si="2"/>
        <v>580506.73</v>
      </c>
    </row>
    <row r="40" spans="1:19" x14ac:dyDescent="0.25">
      <c r="A40" s="41" t="str">
        <f>VLOOKUP(B40,[1]ДовКЕКВ!A$1:B$65536,2,FALSE)</f>
        <v>Оплата праці</v>
      </c>
      <c r="B40" s="42">
        <v>2110</v>
      </c>
      <c r="C40" s="36">
        <f>SUM(C41:C42)</f>
        <v>2445323</v>
      </c>
      <c r="D40" s="36">
        <f>SUM(D41:D42)</f>
        <v>0</v>
      </c>
      <c r="E40" s="37">
        <f t="shared" si="5"/>
        <v>2445323</v>
      </c>
      <c r="F40" s="26">
        <f>F41+F42</f>
        <v>187558.31</v>
      </c>
      <c r="G40" s="26">
        <f t="shared" ref="G40:Q40" si="9">G41+G42</f>
        <v>190948.47999999998</v>
      </c>
      <c r="H40" s="26">
        <f t="shared" si="9"/>
        <v>189576.06</v>
      </c>
      <c r="I40" s="26">
        <f t="shared" si="9"/>
        <v>176316.65</v>
      </c>
      <c r="J40" s="26">
        <f t="shared" si="9"/>
        <v>178441.1</v>
      </c>
      <c r="K40" s="26">
        <f t="shared" si="9"/>
        <v>534689.63</v>
      </c>
      <c r="L40" s="26">
        <f t="shared" si="9"/>
        <v>25635.43</v>
      </c>
      <c r="M40" s="26">
        <f t="shared" si="9"/>
        <v>50249.939999999988</v>
      </c>
      <c r="N40" s="26">
        <f t="shared" si="9"/>
        <v>235424.65</v>
      </c>
      <c r="O40" s="26">
        <f t="shared" si="9"/>
        <v>202515.29</v>
      </c>
      <c r="P40" s="26">
        <f t="shared" si="9"/>
        <v>0</v>
      </c>
      <c r="Q40" s="26">
        <f t="shared" si="9"/>
        <v>0</v>
      </c>
      <c r="R40" s="27">
        <f t="shared" si="1"/>
        <v>1971355.5399999998</v>
      </c>
      <c r="S40" s="28">
        <f t="shared" si="2"/>
        <v>473967.4600000002</v>
      </c>
    </row>
    <row r="41" spans="1:19" x14ac:dyDescent="0.25">
      <c r="A41" s="43" t="str">
        <f>VLOOKUP(B41,[1]ДовКЕКВ!A$1:B$65536,2,FALSE)</f>
        <v>Заробітна плата</v>
      </c>
      <c r="B41" s="44">
        <v>2111</v>
      </c>
      <c r="C41" s="45">
        <v>2445323</v>
      </c>
      <c r="D41" s="45">
        <v>0</v>
      </c>
      <c r="E41" s="37">
        <f t="shared" si="5"/>
        <v>2445323</v>
      </c>
      <c r="F41" s="46">
        <f>143000.96+44557.35</f>
        <v>187558.31</v>
      </c>
      <c r="G41" s="46">
        <f>146043.46+45646.46-741.44</f>
        <v>190948.47999999998</v>
      </c>
      <c r="H41" s="46">
        <f>144191.7+47237.96-1853.6</f>
        <v>189576.06</v>
      </c>
      <c r="I41" s="46">
        <f>143548.33+33185.38-417.06</f>
        <v>176316.65</v>
      </c>
      <c r="J41" s="46">
        <f>144538.38+33902.72</f>
        <v>178441.1</v>
      </c>
      <c r="K41" s="46">
        <f>504424.97+31632.13-1367.47</f>
        <v>534689.63</v>
      </c>
      <c r="L41" s="46">
        <f>29632.65-3997.22</f>
        <v>25635.43</v>
      </c>
      <c r="M41" s="46">
        <f>19896.76+34455.59-4102.41</f>
        <v>50249.939999999988</v>
      </c>
      <c r="N41" s="46">
        <f>238054.4-2629.75</f>
        <v>235424.65</v>
      </c>
      <c r="O41" s="46">
        <v>202515.29</v>
      </c>
      <c r="P41" s="46">
        <v>0</v>
      </c>
      <c r="Q41" s="46">
        <v>0</v>
      </c>
      <c r="R41" s="27">
        <f t="shared" si="1"/>
        <v>1971355.5399999998</v>
      </c>
      <c r="S41" s="28">
        <f t="shared" si="2"/>
        <v>473967.4600000002</v>
      </c>
    </row>
    <row r="42" spans="1:19" ht="24" customHeight="1" x14ac:dyDescent="0.25">
      <c r="A42" s="43" t="str">
        <f>VLOOKUP(B42,[1]ДовКЕКВ!A$1:B$65536,2,FALSE)</f>
        <v>Грошове забезпечення військовослужбовців</v>
      </c>
      <c r="B42" s="44">
        <v>2112</v>
      </c>
      <c r="C42" s="45"/>
      <c r="D42" s="45">
        <v>0</v>
      </c>
      <c r="E42" s="37">
        <f t="shared" si="5"/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27">
        <f t="shared" si="1"/>
        <v>0</v>
      </c>
      <c r="S42" s="28">
        <f t="shared" si="2"/>
        <v>0</v>
      </c>
    </row>
    <row r="43" spans="1:19" ht="26.25" customHeight="1" x14ac:dyDescent="0.25">
      <c r="A43" s="41" t="str">
        <f>VLOOKUP(B43,[1]ДовКЕКВ!A$1:B$65536,2,FALSE)</f>
        <v>Нарахування на оплату праці</v>
      </c>
      <c r="B43" s="42">
        <v>2120</v>
      </c>
      <c r="C43" s="45">
        <v>537971</v>
      </c>
      <c r="D43" s="45">
        <v>0</v>
      </c>
      <c r="E43" s="37">
        <f t="shared" si="5"/>
        <v>537971</v>
      </c>
      <c r="F43" s="26">
        <f>31386.31+9802.62</f>
        <v>41188.93</v>
      </c>
      <c r="G43" s="26">
        <f>31775.43+10042.23</f>
        <v>41817.660000000003</v>
      </c>
      <c r="H43" s="26">
        <f>31368.05+9753.43</f>
        <v>41121.479999999996</v>
      </c>
      <c r="I43" s="26">
        <f>31226.51+7569.9</f>
        <v>38796.409999999996</v>
      </c>
      <c r="J43" s="26">
        <f>31444.32+7636.65</f>
        <v>39080.97</v>
      </c>
      <c r="K43" s="26">
        <f>107398.06+7187.11</f>
        <v>114585.17</v>
      </c>
      <c r="L43" s="26">
        <v>7845.05</v>
      </c>
      <c r="M43" s="26">
        <v>13132.8</v>
      </c>
      <c r="N43" s="26">
        <v>50472.62</v>
      </c>
      <c r="O43" s="26">
        <v>43390.64</v>
      </c>
      <c r="P43" s="26"/>
      <c r="Q43" s="26"/>
      <c r="R43" s="27">
        <f t="shared" si="1"/>
        <v>431431.73</v>
      </c>
      <c r="S43" s="28">
        <f t="shared" si="2"/>
        <v>106539.27000000002</v>
      </c>
    </row>
    <row r="44" spans="1:19" ht="25.5" customHeight="1" x14ac:dyDescent="0.25">
      <c r="A44" s="41" t="str">
        <f>VLOOKUP(B44,[1]ДовКЕКВ!A$1:B$65536,2,FALSE)</f>
        <v>Використання товарів і послуг</v>
      </c>
      <c r="B44" s="42">
        <v>2200</v>
      </c>
      <c r="C44" s="36">
        <f>SUM(C45:C51)+C58</f>
        <v>727544</v>
      </c>
      <c r="D44" s="36">
        <f>SUM(D45:D51)+D58</f>
        <v>0</v>
      </c>
      <c r="E44" s="37">
        <f t="shared" si="5"/>
        <v>727544</v>
      </c>
      <c r="F44" s="26">
        <f>SUM(F45:F51)+F58</f>
        <v>20930.339999999997</v>
      </c>
      <c r="G44" s="26">
        <f t="shared" ref="G44:Q44" si="10">SUM(G45:G51)+G58</f>
        <v>155804.54999999999</v>
      </c>
      <c r="H44" s="26">
        <f t="shared" si="10"/>
        <v>41870.83</v>
      </c>
      <c r="I44" s="26">
        <f t="shared" si="10"/>
        <v>177593.18</v>
      </c>
      <c r="J44" s="26">
        <f t="shared" si="10"/>
        <v>47430.58</v>
      </c>
      <c r="K44" s="26">
        <f t="shared" si="10"/>
        <v>40436.642200000002</v>
      </c>
      <c r="L44" s="26">
        <f t="shared" si="10"/>
        <v>14871.779999999999</v>
      </c>
      <c r="M44" s="26">
        <f t="shared" si="10"/>
        <v>33895.82</v>
      </c>
      <c r="N44" s="26">
        <f t="shared" si="10"/>
        <v>37814.49</v>
      </c>
      <c r="O44" s="26">
        <f t="shared" si="10"/>
        <v>68677.759999999995</v>
      </c>
      <c r="P44" s="26">
        <f t="shared" si="10"/>
        <v>0</v>
      </c>
      <c r="Q44" s="26">
        <f t="shared" si="10"/>
        <v>0</v>
      </c>
      <c r="R44" s="27">
        <f t="shared" si="1"/>
        <v>639325.97219999996</v>
      </c>
      <c r="S44" s="28">
        <f t="shared" si="2"/>
        <v>88218.02780000004</v>
      </c>
    </row>
    <row r="45" spans="1:19" ht="30.75" customHeight="1" x14ac:dyDescent="0.25">
      <c r="A45" s="48" t="str">
        <f>VLOOKUP(B45,[1]ДовКЕКВ!A$1:B$65536,2,FALSE)</f>
        <v>Предмети, матеріали, обладнання та інвентар</v>
      </c>
      <c r="B45" s="49">
        <v>2210</v>
      </c>
      <c r="C45" s="50">
        <v>69849</v>
      </c>
      <c r="D45" s="50">
        <v>0</v>
      </c>
      <c r="E45" s="51">
        <f t="shared" si="5"/>
        <v>69849</v>
      </c>
      <c r="F45" s="52">
        <f>4791+9845</f>
        <v>14636</v>
      </c>
      <c r="G45" s="52">
        <v>32.9</v>
      </c>
      <c r="H45" s="52">
        <f>2264.4+4200</f>
        <v>6464.4</v>
      </c>
      <c r="I45" s="52">
        <v>13306</v>
      </c>
      <c r="J45" s="52">
        <f>243.4+243.4</f>
        <v>486.8</v>
      </c>
      <c r="K45" s="52">
        <f>430+72+1292.99+608.57+608.57</f>
        <v>3012.13</v>
      </c>
      <c r="L45" s="52">
        <f>5253+2790+319+75.4+210.33+96</f>
        <v>8743.73</v>
      </c>
      <c r="M45" s="52">
        <f>300.23+1070+25500</f>
        <v>26870.23</v>
      </c>
      <c r="N45" s="52">
        <f>3035+23.75+625</f>
        <v>3683.75</v>
      </c>
      <c r="O45" s="52">
        <f>3499.75+666.7</f>
        <v>4166.45</v>
      </c>
      <c r="P45" s="52"/>
      <c r="Q45" s="52"/>
      <c r="R45" s="53">
        <f t="shared" si="1"/>
        <v>81402.39</v>
      </c>
      <c r="S45" s="54">
        <f t="shared" si="2"/>
        <v>-11553.39</v>
      </c>
    </row>
    <row r="46" spans="1:19" ht="24.75" customHeight="1" x14ac:dyDescent="0.25">
      <c r="A46" s="41" t="str">
        <f>VLOOKUP(B46,[1]ДовКЕКВ!A$1:B$65536,2,FALSE)</f>
        <v>Медикаменти та перев'язувальні матеріали</v>
      </c>
      <c r="B46" s="42">
        <v>2220</v>
      </c>
      <c r="C46" s="45">
        <v>0</v>
      </c>
      <c r="D46" s="45">
        <v>0</v>
      </c>
      <c r="E46" s="37">
        <f t="shared" si="5"/>
        <v>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>
        <f t="shared" si="1"/>
        <v>0</v>
      </c>
      <c r="S46" s="28">
        <f t="shared" si="2"/>
        <v>0</v>
      </c>
    </row>
    <row r="47" spans="1:19" ht="25.5" customHeight="1" x14ac:dyDescent="0.25">
      <c r="A47" s="41" t="str">
        <f>VLOOKUP(B47,[1]ДовКЕКВ!A$1:B$65536,2,FALSE)</f>
        <v>Продукти харчування</v>
      </c>
      <c r="B47" s="42">
        <v>2230</v>
      </c>
      <c r="C47" s="45">
        <v>94763</v>
      </c>
      <c r="D47" s="45">
        <v>0</v>
      </c>
      <c r="E47" s="37">
        <f t="shared" si="5"/>
        <v>94763</v>
      </c>
      <c r="F47" s="26"/>
      <c r="G47" s="26">
        <v>10473.66</v>
      </c>
      <c r="H47" s="26">
        <v>12392.31</v>
      </c>
      <c r="I47" s="26">
        <v>15596.2</v>
      </c>
      <c r="J47" s="26">
        <v>11247.47</v>
      </c>
      <c r="K47" s="26">
        <v>26603.11</v>
      </c>
      <c r="L47" s="26"/>
      <c r="M47" s="26"/>
      <c r="N47" s="26">
        <v>18524.48</v>
      </c>
      <c r="O47" s="26">
        <v>20928.87</v>
      </c>
      <c r="P47" s="26"/>
      <c r="Q47" s="26"/>
      <c r="R47" s="27">
        <f t="shared" si="1"/>
        <v>115766.09999999999</v>
      </c>
      <c r="S47" s="28">
        <f t="shared" si="2"/>
        <v>-21003.099999999991</v>
      </c>
    </row>
    <row r="48" spans="1:19" ht="25.5" customHeight="1" x14ac:dyDescent="0.25">
      <c r="A48" s="41" t="str">
        <f>VLOOKUP(B48,[1]ДовКЕКВ!A$1:B$65536,2,FALSE)</f>
        <v>Оплата послуг (крім комунальних)</v>
      </c>
      <c r="B48" s="42">
        <v>2240</v>
      </c>
      <c r="C48" s="45">
        <v>33204</v>
      </c>
      <c r="D48" s="45">
        <v>0</v>
      </c>
      <c r="E48" s="37">
        <f t="shared" si="5"/>
        <v>33204</v>
      </c>
      <c r="F48" s="47"/>
      <c r="G48" s="47">
        <v>38.659999999999997</v>
      </c>
      <c r="H48" s="47"/>
      <c r="I48" s="47">
        <f>2957+933.95+155.81</f>
        <v>4046.7599999999998</v>
      </c>
      <c r="J48" s="47">
        <f>250+59.94+8</f>
        <v>317.94</v>
      </c>
      <c r="K48" s="47">
        <f>54.34+4.2+1275.42</f>
        <v>1333.96</v>
      </c>
      <c r="L48" s="47">
        <v>1561.8</v>
      </c>
      <c r="M48" s="47">
        <f>1447.1+1525.58+287.25+854.4</f>
        <v>4114.33</v>
      </c>
      <c r="N48" s="47">
        <f>193.1+2302.6+56.34+41.87+500+4965.67+482.81+221.55+70.81+63.95+140</f>
        <v>9038.6999999999989</v>
      </c>
      <c r="O48" s="47">
        <f>4300+616.62+107.65+894.72+88.5</f>
        <v>6007.49</v>
      </c>
      <c r="P48" s="47"/>
      <c r="Q48" s="47"/>
      <c r="R48" s="27">
        <f t="shared" si="1"/>
        <v>26459.64</v>
      </c>
      <c r="S48" s="28">
        <f t="shared" si="2"/>
        <v>6744.3600000000006</v>
      </c>
    </row>
    <row r="49" spans="1:19" ht="18.75" customHeight="1" x14ac:dyDescent="0.25">
      <c r="A49" s="41" t="str">
        <f>VLOOKUP(B49,[1]ДовКЕКВ!A$1:B$65536,2,FALSE)</f>
        <v>Видатки на відрядження</v>
      </c>
      <c r="B49" s="42">
        <v>2250</v>
      </c>
      <c r="C49" s="45">
        <v>3160</v>
      </c>
      <c r="D49" s="45">
        <v>0</v>
      </c>
      <c r="E49" s="37">
        <f t="shared" si="5"/>
        <v>3160</v>
      </c>
      <c r="F49" s="47"/>
      <c r="G49" s="47">
        <v>1032.96</v>
      </c>
      <c r="H49" s="47">
        <v>97.21</v>
      </c>
      <c r="I49" s="47">
        <v>678.93</v>
      </c>
      <c r="J49" s="47">
        <v>787.15</v>
      </c>
      <c r="K49" s="47">
        <v>72.959999999999994</v>
      </c>
      <c r="L49" s="47"/>
      <c r="M49" s="47"/>
      <c r="N49" s="47">
        <v>834.55</v>
      </c>
      <c r="O49" s="47">
        <v>1117.95</v>
      </c>
      <c r="P49" s="47"/>
      <c r="Q49" s="47"/>
      <c r="R49" s="27">
        <f t="shared" si="1"/>
        <v>4621.71</v>
      </c>
      <c r="S49" s="28">
        <f t="shared" si="2"/>
        <v>-1461.71</v>
      </c>
    </row>
    <row r="50" spans="1:19" ht="23.25" customHeight="1" x14ac:dyDescent="0.25">
      <c r="A50" s="41" t="str">
        <f>VLOOKUP(B50,[1]ДовКЕКВ!A$1:B$65536,2,FALSE)</f>
        <v>Видатки та заходи спеціального призначення</v>
      </c>
      <c r="B50" s="42">
        <v>2260</v>
      </c>
      <c r="C50" s="45">
        <v>0</v>
      </c>
      <c r="D50" s="45">
        <v>0</v>
      </c>
      <c r="E50" s="37">
        <f t="shared" si="5"/>
        <v>0</v>
      </c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27">
        <f t="shared" si="1"/>
        <v>0</v>
      </c>
      <c r="S50" s="28">
        <f t="shared" si="2"/>
        <v>0</v>
      </c>
    </row>
    <row r="51" spans="1:19" ht="28.5" customHeight="1" x14ac:dyDescent="0.25">
      <c r="A51" s="41" t="str">
        <f>VLOOKUP(B51,[1]ДовКЕКВ!A$1:B$65536,2,FALSE)</f>
        <v>Оплата комунальних послуг та енергоносіїв</v>
      </c>
      <c r="B51" s="42">
        <v>2270</v>
      </c>
      <c r="C51" s="36">
        <f>SUM(C52:C57)</f>
        <v>526568</v>
      </c>
      <c r="D51" s="36">
        <f>SUM(D52:D57)</f>
        <v>0</v>
      </c>
      <c r="E51" s="37">
        <f>SUM(C51:D51)</f>
        <v>526568</v>
      </c>
      <c r="F51" s="26">
        <f>SUM(F52:F57)</f>
        <v>6208.42</v>
      </c>
      <c r="G51" s="26">
        <f t="shared" ref="G51:Q51" si="11">SUM(G52:G57)</f>
        <v>143471.91</v>
      </c>
      <c r="H51" s="26">
        <f t="shared" si="11"/>
        <v>22030.99</v>
      </c>
      <c r="I51" s="26">
        <f t="shared" si="11"/>
        <v>143965.29</v>
      </c>
      <c r="J51" s="26">
        <f t="shared" si="11"/>
        <v>33501.65</v>
      </c>
      <c r="K51" s="26">
        <f t="shared" si="11"/>
        <v>8393.4822000000004</v>
      </c>
      <c r="L51" s="26">
        <f t="shared" si="11"/>
        <v>4566.25</v>
      </c>
      <c r="M51" s="26">
        <f t="shared" si="11"/>
        <v>2911.26</v>
      </c>
      <c r="N51" s="26">
        <f t="shared" si="11"/>
        <v>5733.01</v>
      </c>
      <c r="O51" s="26">
        <f t="shared" si="11"/>
        <v>36457</v>
      </c>
      <c r="P51" s="26">
        <f t="shared" si="11"/>
        <v>0</v>
      </c>
      <c r="Q51" s="26">
        <f t="shared" si="11"/>
        <v>0</v>
      </c>
      <c r="R51" s="27">
        <f t="shared" si="1"/>
        <v>407239.26220000006</v>
      </c>
      <c r="S51" s="28">
        <f t="shared" si="2"/>
        <v>119328.73779999994</v>
      </c>
    </row>
    <row r="52" spans="1:19" ht="24.75" customHeight="1" x14ac:dyDescent="0.25">
      <c r="A52" s="41" t="str">
        <f>VLOOKUP(B52,[1]ДовКЕКВ!A$1:B$65536,2,FALSE)</f>
        <v>Оплата теплопостачання</v>
      </c>
      <c r="B52" s="42">
        <v>2271</v>
      </c>
      <c r="C52" s="45">
        <v>0</v>
      </c>
      <c r="D52" s="45">
        <v>0</v>
      </c>
      <c r="E52" s="37">
        <f t="shared" si="5"/>
        <v>0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>
        <f t="shared" si="1"/>
        <v>0</v>
      </c>
      <c r="S52" s="28">
        <f t="shared" si="2"/>
        <v>0</v>
      </c>
    </row>
    <row r="53" spans="1:19" ht="24" customHeight="1" x14ac:dyDescent="0.25">
      <c r="A53" s="43" t="str">
        <f>VLOOKUP(B53,[1]ДовКЕКВ!A$1:B$65536,2,FALSE)</f>
        <v>Оплата водопостачання та водовідведення</v>
      </c>
      <c r="B53" s="44">
        <v>2272</v>
      </c>
      <c r="C53" s="45">
        <v>0</v>
      </c>
      <c r="D53" s="45">
        <v>0</v>
      </c>
      <c r="E53" s="37">
        <f t="shared" si="5"/>
        <v>0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7">
        <f t="shared" si="1"/>
        <v>0</v>
      </c>
      <c r="S53" s="28">
        <f t="shared" si="2"/>
        <v>0</v>
      </c>
    </row>
    <row r="54" spans="1:19" ht="27" customHeight="1" x14ac:dyDescent="0.25">
      <c r="A54" s="43" t="str">
        <f>VLOOKUP(B54,[1]ДовКЕКВ!A$1:B$65536,2,FALSE)</f>
        <v>Оплата електроенергії</v>
      </c>
      <c r="B54" s="44">
        <v>2273</v>
      </c>
      <c r="C54" s="45">
        <v>79631</v>
      </c>
      <c r="D54" s="45">
        <v>0</v>
      </c>
      <c r="E54" s="37">
        <f t="shared" si="5"/>
        <v>79631</v>
      </c>
      <c r="F54" s="26">
        <v>6208.42</v>
      </c>
      <c r="G54" s="26">
        <v>10358.68</v>
      </c>
      <c r="H54" s="26">
        <v>16852.080000000002</v>
      </c>
      <c r="I54" s="26">
        <v>9383.9</v>
      </c>
      <c r="J54" s="26">
        <v>9033.9500000000007</v>
      </c>
      <c r="K54" s="26">
        <v>8393.4822000000004</v>
      </c>
      <c r="L54" s="26">
        <v>4566.25</v>
      </c>
      <c r="M54" s="26">
        <v>2911.26</v>
      </c>
      <c r="N54" s="26">
        <v>5733.01</v>
      </c>
      <c r="O54" s="26">
        <v>8714.32</v>
      </c>
      <c r="P54" s="26"/>
      <c r="Q54" s="26"/>
      <c r="R54" s="27">
        <f t="shared" si="1"/>
        <v>82155.352199999994</v>
      </c>
      <c r="S54" s="28">
        <f t="shared" si="2"/>
        <v>-2524.3521999999939</v>
      </c>
    </row>
    <row r="55" spans="1:19" ht="24" customHeight="1" x14ac:dyDescent="0.25">
      <c r="A55" s="43" t="str">
        <f>VLOOKUP(B55,[1]ДовКЕКВ!A$1:B$65536,2,FALSE)</f>
        <v>Оплата природного газу</v>
      </c>
      <c r="B55" s="44">
        <v>2274</v>
      </c>
      <c r="C55" s="45">
        <v>446937</v>
      </c>
      <c r="D55" s="45">
        <v>0</v>
      </c>
      <c r="E55" s="37">
        <f t="shared" si="5"/>
        <v>446937</v>
      </c>
      <c r="F55" s="26"/>
      <c r="G55" s="26">
        <v>133113.23000000001</v>
      </c>
      <c r="H55" s="26">
        <v>5178.91</v>
      </c>
      <c r="I55" s="26">
        <f>65681.65+68899.74</f>
        <v>134581.39000000001</v>
      </c>
      <c r="J55" s="26">
        <v>24467.7</v>
      </c>
      <c r="K55" s="26"/>
      <c r="L55" s="26"/>
      <c r="M55" s="26"/>
      <c r="N55" s="26"/>
      <c r="O55" s="26">
        <v>27742.68</v>
      </c>
      <c r="P55" s="26"/>
      <c r="Q55" s="26"/>
      <c r="R55" s="27">
        <f t="shared" si="1"/>
        <v>325083.91000000003</v>
      </c>
      <c r="S55" s="28">
        <f t="shared" si="2"/>
        <v>121853.08999999997</v>
      </c>
    </row>
    <row r="56" spans="1:19" ht="21.75" customHeight="1" x14ac:dyDescent="0.25">
      <c r="A56" s="43" t="str">
        <f>VLOOKUP(B56,[1]ДовКЕКВ!A$1:B$65536,2,FALSE)</f>
        <v>Оплата інших енергоносіїв</v>
      </c>
      <c r="B56" s="44">
        <v>2275</v>
      </c>
      <c r="C56" s="45">
        <v>0</v>
      </c>
      <c r="D56" s="45">
        <v>0</v>
      </c>
      <c r="E56" s="37">
        <f t="shared" si="5"/>
        <v>0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7">
        <f t="shared" si="1"/>
        <v>0</v>
      </c>
      <c r="S56" s="28">
        <f t="shared" si="2"/>
        <v>0</v>
      </c>
    </row>
    <row r="57" spans="1:19" ht="19.5" customHeight="1" x14ac:dyDescent="0.25">
      <c r="A57" s="43" t="str">
        <f>VLOOKUP(B57,[1]ДовКЕКВ!A$1:B$65536,2,FALSE)</f>
        <v xml:space="preserve">Оплата енергосервісу </v>
      </c>
      <c r="B57" s="44">
        <v>2276</v>
      </c>
      <c r="C57" s="45">
        <v>0</v>
      </c>
      <c r="D57" s="45">
        <v>0</v>
      </c>
      <c r="E57" s="37">
        <f>SUM(C57:D57)</f>
        <v>0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7">
        <f t="shared" si="1"/>
        <v>0</v>
      </c>
      <c r="S57" s="28">
        <f t="shared" si="2"/>
        <v>0</v>
      </c>
    </row>
    <row r="58" spans="1:19" ht="36.75" customHeight="1" x14ac:dyDescent="0.25">
      <c r="A58" s="41" t="str">
        <f>VLOOKUP(B58,[1]ДовКЕКВ!A$1:B$65536,2,FALSE)</f>
        <v>Дослідження і розробки, окремі заходи по реалізації державних (регіональних) програм</v>
      </c>
      <c r="B58" s="42">
        <v>2280</v>
      </c>
      <c r="C58" s="36">
        <f>SUM(C59:C60)</f>
        <v>0</v>
      </c>
      <c r="D58" s="36">
        <f>SUM(D59:D60)</f>
        <v>0</v>
      </c>
      <c r="E58" s="37">
        <f t="shared" si="5"/>
        <v>0</v>
      </c>
      <c r="F58" s="47">
        <f>SUM(F59:F60)</f>
        <v>85.92</v>
      </c>
      <c r="G58" s="47">
        <f t="shared" ref="G58:Q58" si="12">SUM(G59:G60)</f>
        <v>754.46</v>
      </c>
      <c r="H58" s="47">
        <f t="shared" si="12"/>
        <v>885.92</v>
      </c>
      <c r="I58" s="47">
        <f t="shared" si="12"/>
        <v>0</v>
      </c>
      <c r="J58" s="47">
        <f t="shared" si="12"/>
        <v>1089.57</v>
      </c>
      <c r="K58" s="47">
        <f t="shared" si="12"/>
        <v>1021</v>
      </c>
      <c r="L58" s="47">
        <f t="shared" si="12"/>
        <v>0</v>
      </c>
      <c r="M58" s="47">
        <f t="shared" si="12"/>
        <v>0</v>
      </c>
      <c r="N58" s="47">
        <f t="shared" si="12"/>
        <v>0</v>
      </c>
      <c r="O58" s="47">
        <f t="shared" si="12"/>
        <v>0</v>
      </c>
      <c r="P58" s="47">
        <f t="shared" si="12"/>
        <v>0</v>
      </c>
      <c r="Q58" s="47">
        <f t="shared" si="12"/>
        <v>0</v>
      </c>
      <c r="R58" s="27">
        <f t="shared" si="1"/>
        <v>3836.87</v>
      </c>
      <c r="S58" s="28">
        <f t="shared" si="2"/>
        <v>-3836.87</v>
      </c>
    </row>
    <row r="59" spans="1:19" ht="40.5" customHeight="1" x14ac:dyDescent="0.25">
      <c r="A59" s="43" t="str">
        <f>VLOOKUP(B59,[1]ДовКЕКВ!A$1:B$65536,2,FALSE)</f>
        <v>Дослідження і розробки, окремі заходи розвитку по реалізації державних (регіональних) програм</v>
      </c>
      <c r="B59" s="44">
        <v>2281</v>
      </c>
      <c r="C59" s="45">
        <v>0</v>
      </c>
      <c r="D59" s="45">
        <v>0</v>
      </c>
      <c r="E59" s="37">
        <f t="shared" si="5"/>
        <v>0</v>
      </c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27">
        <f t="shared" si="1"/>
        <v>0</v>
      </c>
      <c r="S59" s="28">
        <f t="shared" si="2"/>
        <v>0</v>
      </c>
    </row>
    <row r="60" spans="1:19" ht="54" customHeight="1" x14ac:dyDescent="0.25">
      <c r="A60" s="43" t="str">
        <f>VLOOKUP(B60,[1]ДовКЕКВ!A$1:B$65536,2,FALSE)</f>
        <v>Окремі заходи по реалізації державних (регіональних) програм, не віднесені до заходів розвитку</v>
      </c>
      <c r="B60" s="44">
        <v>2282</v>
      </c>
      <c r="C60" s="45">
        <v>0</v>
      </c>
      <c r="D60" s="45">
        <v>0</v>
      </c>
      <c r="E60" s="37">
        <f t="shared" si="5"/>
        <v>0</v>
      </c>
      <c r="F60" s="47">
        <v>85.92</v>
      </c>
      <c r="G60" s="47">
        <v>754.46</v>
      </c>
      <c r="H60" s="47">
        <v>885.92</v>
      </c>
      <c r="I60" s="47"/>
      <c r="J60" s="47">
        <v>1089.57</v>
      </c>
      <c r="K60" s="47">
        <v>1021</v>
      </c>
      <c r="L60" s="47"/>
      <c r="M60" s="47"/>
      <c r="N60" s="47"/>
      <c r="O60" s="47"/>
      <c r="P60" s="47"/>
      <c r="Q60" s="47"/>
      <c r="R60" s="27">
        <f t="shared" si="1"/>
        <v>3836.87</v>
      </c>
      <c r="S60" s="28">
        <f t="shared" si="2"/>
        <v>-3836.87</v>
      </c>
    </row>
    <row r="61" spans="1:19" ht="36" customHeight="1" x14ac:dyDescent="0.25">
      <c r="A61" s="41" t="str">
        <f>VLOOKUP(B61,[1]ДовКЕКВ!A$1:B$65536,2,FALSE)</f>
        <v>Обслуговування боргових зобов'язань</v>
      </c>
      <c r="B61" s="42">
        <v>2400</v>
      </c>
      <c r="C61" s="36">
        <f>SUM(C62:C63)</f>
        <v>0</v>
      </c>
      <c r="D61" s="36">
        <f>SUM(D62:D63)</f>
        <v>0</v>
      </c>
      <c r="E61" s="37">
        <f t="shared" si="5"/>
        <v>0</v>
      </c>
      <c r="F61" s="46">
        <f>SUM(F62:F63)</f>
        <v>0</v>
      </c>
      <c r="G61" s="46">
        <f t="shared" ref="G61:Q61" si="13">SUM(G62:G63)</f>
        <v>0</v>
      </c>
      <c r="H61" s="46">
        <f t="shared" si="13"/>
        <v>0</v>
      </c>
      <c r="I61" s="46">
        <f t="shared" si="13"/>
        <v>0</v>
      </c>
      <c r="J61" s="46">
        <f t="shared" si="13"/>
        <v>0</v>
      </c>
      <c r="K61" s="46">
        <f t="shared" si="13"/>
        <v>0</v>
      </c>
      <c r="L61" s="46">
        <f t="shared" si="13"/>
        <v>0</v>
      </c>
      <c r="M61" s="46">
        <f t="shared" si="13"/>
        <v>0</v>
      </c>
      <c r="N61" s="46">
        <f t="shared" si="13"/>
        <v>0</v>
      </c>
      <c r="O61" s="46">
        <f t="shared" si="13"/>
        <v>0</v>
      </c>
      <c r="P61" s="46">
        <f t="shared" si="13"/>
        <v>0</v>
      </c>
      <c r="Q61" s="46">
        <f t="shared" si="13"/>
        <v>0</v>
      </c>
      <c r="R61" s="39">
        <f t="shared" si="1"/>
        <v>0</v>
      </c>
      <c r="S61" s="40">
        <f t="shared" si="2"/>
        <v>0</v>
      </c>
    </row>
    <row r="62" spans="1:19" ht="36.75" customHeight="1" x14ac:dyDescent="0.25">
      <c r="A62" s="41" t="str">
        <f>VLOOKUP(B62,[1]ДовКЕКВ!A$1:B$65536,2,FALSE)</f>
        <v>Обслуговування внутрішніх боргових зобов'язань</v>
      </c>
      <c r="B62" s="42">
        <v>2410</v>
      </c>
      <c r="C62" s="45">
        <v>0</v>
      </c>
      <c r="D62" s="45">
        <v>0</v>
      </c>
      <c r="E62" s="37">
        <f>SUM(C62:D62)</f>
        <v>0</v>
      </c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27">
        <f t="shared" si="1"/>
        <v>0</v>
      </c>
      <c r="S62" s="28">
        <f t="shared" si="2"/>
        <v>0</v>
      </c>
    </row>
    <row r="63" spans="1:19" ht="32.25" customHeight="1" x14ac:dyDescent="0.25">
      <c r="A63" s="41" t="str">
        <f>VLOOKUP(B63,[1]ДовКЕКВ!A$1:B$65536,2,FALSE)</f>
        <v>Обслуговування зовнішніх боргових зобов'язань</v>
      </c>
      <c r="B63" s="42">
        <v>2420</v>
      </c>
      <c r="C63" s="45">
        <v>0</v>
      </c>
      <c r="D63" s="45">
        <v>0</v>
      </c>
      <c r="E63" s="37">
        <f>SUM(C63:D63)</f>
        <v>0</v>
      </c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27">
        <f t="shared" si="1"/>
        <v>0</v>
      </c>
      <c r="S63" s="28">
        <f t="shared" si="2"/>
        <v>0</v>
      </c>
    </row>
    <row r="64" spans="1:19" ht="24" customHeight="1" x14ac:dyDescent="0.25">
      <c r="A64" s="41" t="str">
        <f>VLOOKUP(B64,[1]ДовКЕКВ!A$1:B$65536,2,FALSE)</f>
        <v>Поточні трансферти</v>
      </c>
      <c r="B64" s="42">
        <v>2600</v>
      </c>
      <c r="C64" s="36">
        <f>SUM(C65:C67)</f>
        <v>0</v>
      </c>
      <c r="D64" s="36">
        <f>SUM(D65:D67)</f>
        <v>0</v>
      </c>
      <c r="E64" s="37">
        <f t="shared" ref="E64:E97" si="14">SUM(C64:D64)</f>
        <v>0</v>
      </c>
      <c r="F64" s="47">
        <f>SUM(F65:F67)</f>
        <v>0</v>
      </c>
      <c r="G64" s="47">
        <f t="shared" ref="G64:Q64" si="15">SUM(G65:G67)</f>
        <v>0</v>
      </c>
      <c r="H64" s="47">
        <f t="shared" si="15"/>
        <v>0</v>
      </c>
      <c r="I64" s="47">
        <f t="shared" si="15"/>
        <v>0</v>
      </c>
      <c r="J64" s="47">
        <f t="shared" si="15"/>
        <v>0</v>
      </c>
      <c r="K64" s="47">
        <f t="shared" si="15"/>
        <v>0</v>
      </c>
      <c r="L64" s="47">
        <f t="shared" si="15"/>
        <v>0</v>
      </c>
      <c r="M64" s="47">
        <f t="shared" si="15"/>
        <v>0</v>
      </c>
      <c r="N64" s="47">
        <f t="shared" si="15"/>
        <v>0</v>
      </c>
      <c r="O64" s="47">
        <f t="shared" si="15"/>
        <v>0</v>
      </c>
      <c r="P64" s="47">
        <f t="shared" si="15"/>
        <v>0</v>
      </c>
      <c r="Q64" s="47">
        <f t="shared" si="15"/>
        <v>0</v>
      </c>
      <c r="R64" s="27">
        <f t="shared" si="1"/>
        <v>0</v>
      </c>
      <c r="S64" s="28">
        <f t="shared" si="2"/>
        <v>0</v>
      </c>
    </row>
    <row r="65" spans="1:19" ht="36.75" customHeight="1" x14ac:dyDescent="0.25">
      <c r="A65" s="41" t="str">
        <f>VLOOKUP(B65,[1]ДовКЕКВ!A$1:B$65536,2,FALSE)</f>
        <v>Субсидії та поточні трансферти підприємствам (установам, організаціям)</v>
      </c>
      <c r="B65" s="42">
        <v>2610</v>
      </c>
      <c r="C65" s="45">
        <v>0</v>
      </c>
      <c r="D65" s="45">
        <v>0</v>
      </c>
      <c r="E65" s="37">
        <f t="shared" si="14"/>
        <v>0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27">
        <f t="shared" si="1"/>
        <v>0</v>
      </c>
      <c r="S65" s="28">
        <f t="shared" si="2"/>
        <v>0</v>
      </c>
    </row>
    <row r="66" spans="1:19" ht="35.25" customHeight="1" x14ac:dyDescent="0.25">
      <c r="A66" s="41" t="str">
        <f>VLOOKUP(B66,[1]ДовКЕКВ!A$1:B$65536,2,FALSE)</f>
        <v>Поточні трансферти органам державного управління інших рівнів</v>
      </c>
      <c r="B66" s="42">
        <v>2620</v>
      </c>
      <c r="C66" s="45">
        <v>0</v>
      </c>
      <c r="D66" s="45">
        <v>0</v>
      </c>
      <c r="E66" s="37">
        <f t="shared" si="14"/>
        <v>0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7">
        <f t="shared" si="1"/>
        <v>0</v>
      </c>
      <c r="S66" s="28">
        <f t="shared" si="2"/>
        <v>0</v>
      </c>
    </row>
    <row r="67" spans="1:19" ht="36" customHeight="1" x14ac:dyDescent="0.25">
      <c r="A67" s="41" t="str">
        <f>VLOOKUP(B67,[1]ДовКЕКВ!A$1:B$65536,2,FALSE)</f>
        <v>Поточні трансферти урядам іноземних держав та міжнародним організаціям</v>
      </c>
      <c r="B67" s="42">
        <v>2630</v>
      </c>
      <c r="C67" s="45" t="s">
        <v>51</v>
      </c>
      <c r="D67" s="45">
        <v>0</v>
      </c>
      <c r="E67" s="37">
        <f t="shared" si="14"/>
        <v>0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7">
        <f t="shared" si="1"/>
        <v>0</v>
      </c>
      <c r="S67" s="28">
        <f t="shared" si="2"/>
        <v>0</v>
      </c>
    </row>
    <row r="68" spans="1:19" ht="26.25" customHeight="1" x14ac:dyDescent="0.25">
      <c r="A68" s="41" t="str">
        <f>VLOOKUP(B68,[1]ДовКЕКВ!A$1:B$65536,2,FALSE)</f>
        <v>Соціальне забезпечення</v>
      </c>
      <c r="B68" s="42">
        <v>2700</v>
      </c>
      <c r="C68" s="36">
        <f>SUM(C69:C71)</f>
        <v>0</v>
      </c>
      <c r="D68" s="36">
        <f>SUM(D69:D71)</f>
        <v>0</v>
      </c>
      <c r="E68" s="37">
        <f t="shared" si="14"/>
        <v>0</v>
      </c>
      <c r="F68" s="26">
        <f>SUM(F69:F71)</f>
        <v>0</v>
      </c>
      <c r="G68" s="26">
        <f t="shared" ref="G68:Q68" si="16">SUM(G69:G71)</f>
        <v>0</v>
      </c>
      <c r="H68" s="26">
        <f t="shared" si="16"/>
        <v>0</v>
      </c>
      <c r="I68" s="26">
        <f t="shared" si="16"/>
        <v>0</v>
      </c>
      <c r="J68" s="26">
        <f t="shared" si="16"/>
        <v>0</v>
      </c>
      <c r="K68" s="26">
        <f t="shared" si="16"/>
        <v>0</v>
      </c>
      <c r="L68" s="26">
        <f t="shared" si="16"/>
        <v>0</v>
      </c>
      <c r="M68" s="26">
        <f t="shared" si="16"/>
        <v>0</v>
      </c>
      <c r="N68" s="26">
        <f t="shared" si="16"/>
        <v>0</v>
      </c>
      <c r="O68" s="26">
        <f t="shared" si="16"/>
        <v>0</v>
      </c>
      <c r="P68" s="26">
        <f t="shared" si="16"/>
        <v>0</v>
      </c>
      <c r="Q68" s="26">
        <f t="shared" si="16"/>
        <v>0</v>
      </c>
      <c r="R68" s="27">
        <f t="shared" si="1"/>
        <v>0</v>
      </c>
      <c r="S68" s="28">
        <f t="shared" si="2"/>
        <v>0</v>
      </c>
    </row>
    <row r="69" spans="1:19" ht="24" customHeight="1" x14ac:dyDescent="0.25">
      <c r="A69" s="41" t="str">
        <f>VLOOKUP(B69,[1]ДовКЕКВ!A$1:B$65536,2,FALSE)</f>
        <v>Виплата пенсій і допомоги</v>
      </c>
      <c r="B69" s="42">
        <v>2710</v>
      </c>
      <c r="C69" s="45">
        <v>0</v>
      </c>
      <c r="D69" s="45">
        <v>0</v>
      </c>
      <c r="E69" s="37">
        <f t="shared" si="14"/>
        <v>0</v>
      </c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27">
        <f t="shared" si="1"/>
        <v>0</v>
      </c>
      <c r="S69" s="28">
        <f t="shared" si="2"/>
        <v>0</v>
      </c>
    </row>
    <row r="70" spans="1:19" x14ac:dyDescent="0.25">
      <c r="A70" s="41" t="str">
        <f>VLOOKUP(B70,[1]ДовКЕКВ!A$1:B$65536,2,FALSE)</f>
        <v>Стипендії</v>
      </c>
      <c r="B70" s="42">
        <v>2720</v>
      </c>
      <c r="C70" s="45">
        <v>0</v>
      </c>
      <c r="D70" s="45">
        <v>0</v>
      </c>
      <c r="E70" s="37">
        <f t="shared" si="14"/>
        <v>0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27">
        <f t="shared" si="1"/>
        <v>0</v>
      </c>
      <c r="S70" s="28">
        <f t="shared" si="2"/>
        <v>0</v>
      </c>
    </row>
    <row r="71" spans="1:19" ht="22.5" customHeight="1" x14ac:dyDescent="0.25">
      <c r="A71" s="41" t="str">
        <f>VLOOKUP(B71,[1]ДовКЕКВ!A$1:B$65536,2,FALSE)</f>
        <v>Інші виплати населенню</v>
      </c>
      <c r="B71" s="42">
        <v>2730</v>
      </c>
      <c r="C71" s="45">
        <v>0</v>
      </c>
      <c r="D71" s="45">
        <v>0</v>
      </c>
      <c r="E71" s="37">
        <f t="shared" si="14"/>
        <v>0</v>
      </c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27">
        <f t="shared" si="1"/>
        <v>0</v>
      </c>
      <c r="S71" s="28">
        <f t="shared" si="2"/>
        <v>0</v>
      </c>
    </row>
    <row r="72" spans="1:19" ht="21.75" customHeight="1" x14ac:dyDescent="0.25">
      <c r="A72" s="41" t="str">
        <f>VLOOKUP(B72,[1]ДовКЕКВ!A$1:B$65536,2,FALSE)</f>
        <v>Інші поточні видатки</v>
      </c>
      <c r="B72" s="42">
        <v>2800</v>
      </c>
      <c r="C72" s="45">
        <v>0</v>
      </c>
      <c r="D72" s="45"/>
      <c r="E72" s="37">
        <f t="shared" si="14"/>
        <v>0</v>
      </c>
      <c r="F72" s="47"/>
      <c r="G72" s="47"/>
      <c r="H72" s="47"/>
      <c r="I72" s="47"/>
      <c r="J72" s="47">
        <v>312.91000000000003</v>
      </c>
      <c r="K72" s="47"/>
      <c r="L72" s="47"/>
      <c r="M72" s="47"/>
      <c r="N72" s="47"/>
      <c r="O72" s="47"/>
      <c r="P72" s="47"/>
      <c r="Q72" s="47"/>
      <c r="R72" s="27">
        <f t="shared" si="1"/>
        <v>312.91000000000003</v>
      </c>
      <c r="S72" s="28">
        <f t="shared" si="2"/>
        <v>-312.91000000000003</v>
      </c>
    </row>
    <row r="73" spans="1:19" x14ac:dyDescent="0.25">
      <c r="A73" s="41" t="str">
        <f>VLOOKUP(B73,[1]ДовКЕКВ!A$1:B$65536,2,FALSE)</f>
        <v>Капітальні видатки</v>
      </c>
      <c r="B73" s="42">
        <v>3000</v>
      </c>
      <c r="C73" s="36">
        <f>C74+C88</f>
        <v>0</v>
      </c>
      <c r="D73" s="36">
        <f>D74+D88</f>
        <v>0</v>
      </c>
      <c r="E73" s="37">
        <f t="shared" si="14"/>
        <v>0</v>
      </c>
      <c r="F73" s="47">
        <f>F74+F88</f>
        <v>0</v>
      </c>
      <c r="G73" s="47">
        <f t="shared" ref="G73:Q73" si="17">G74+G88</f>
        <v>0</v>
      </c>
      <c r="H73" s="47">
        <f t="shared" si="17"/>
        <v>0</v>
      </c>
      <c r="I73" s="47">
        <f t="shared" si="17"/>
        <v>0</v>
      </c>
      <c r="J73" s="47">
        <f t="shared" si="17"/>
        <v>0</v>
      </c>
      <c r="K73" s="47">
        <f t="shared" si="17"/>
        <v>0</v>
      </c>
      <c r="L73" s="47">
        <f t="shared" si="17"/>
        <v>0</v>
      </c>
      <c r="M73" s="47">
        <f t="shared" si="17"/>
        <v>0</v>
      </c>
      <c r="N73" s="47">
        <f t="shared" si="17"/>
        <v>0</v>
      </c>
      <c r="O73" s="47">
        <f t="shared" si="17"/>
        <v>0</v>
      </c>
      <c r="P73" s="47">
        <f t="shared" si="17"/>
        <v>0</v>
      </c>
      <c r="Q73" s="47">
        <f t="shared" si="17"/>
        <v>0</v>
      </c>
      <c r="R73" s="27">
        <f t="shared" si="1"/>
        <v>0</v>
      </c>
      <c r="S73" s="28">
        <f t="shared" si="2"/>
        <v>0</v>
      </c>
    </row>
    <row r="74" spans="1:19" ht="25.5" customHeight="1" x14ac:dyDescent="0.25">
      <c r="A74" s="41" t="str">
        <f>VLOOKUP(B74,[1]ДовКЕКВ!A$1:B$65536,2,FALSE)</f>
        <v>Придбання основного капіталу</v>
      </c>
      <c r="B74" s="42">
        <v>3100</v>
      </c>
      <c r="C74" s="37">
        <f>C75+C76+C79+C82+C86+C87</f>
        <v>0</v>
      </c>
      <c r="D74" s="37">
        <f>D75+D76+D79+D82+D86+D87</f>
        <v>0</v>
      </c>
      <c r="E74" s="37">
        <f t="shared" si="14"/>
        <v>0</v>
      </c>
      <c r="F74" s="26">
        <f>F75+F76+F79+F82+F86+F87</f>
        <v>0</v>
      </c>
      <c r="G74" s="26">
        <f t="shared" ref="G74:Q74" si="18">G75+G76+G79+G82+G86+G87</f>
        <v>0</v>
      </c>
      <c r="H74" s="26">
        <f t="shared" si="18"/>
        <v>0</v>
      </c>
      <c r="I74" s="26">
        <f t="shared" si="18"/>
        <v>0</v>
      </c>
      <c r="J74" s="26">
        <f t="shared" si="18"/>
        <v>0</v>
      </c>
      <c r="K74" s="26">
        <f t="shared" si="18"/>
        <v>0</v>
      </c>
      <c r="L74" s="26">
        <f t="shared" si="18"/>
        <v>0</v>
      </c>
      <c r="M74" s="26">
        <f t="shared" si="18"/>
        <v>0</v>
      </c>
      <c r="N74" s="26">
        <f t="shared" si="18"/>
        <v>0</v>
      </c>
      <c r="O74" s="26">
        <f t="shared" si="18"/>
        <v>0</v>
      </c>
      <c r="P74" s="26">
        <f t="shared" si="18"/>
        <v>0</v>
      </c>
      <c r="Q74" s="26">
        <f t="shared" si="18"/>
        <v>0</v>
      </c>
      <c r="R74" s="27">
        <f t="shared" si="1"/>
        <v>0</v>
      </c>
      <c r="S74" s="28">
        <f t="shared" si="2"/>
        <v>0</v>
      </c>
    </row>
    <row r="75" spans="1:19" ht="24.75" customHeight="1" x14ac:dyDescent="0.25">
      <c r="A75" s="41" t="str">
        <f>VLOOKUP(B75,[1]ДовКЕКВ!A$1:B$65536,2,FALSE)</f>
        <v>Придбання обладнання і предметів довгострокового користування</v>
      </c>
      <c r="B75" s="42">
        <v>3110</v>
      </c>
      <c r="C75" s="45">
        <v>0</v>
      </c>
      <c r="D75" s="45">
        <v>0</v>
      </c>
      <c r="E75" s="37">
        <f t="shared" si="14"/>
        <v>0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7">
        <f t="shared" si="1"/>
        <v>0</v>
      </c>
      <c r="S75" s="28">
        <f t="shared" si="2"/>
        <v>0</v>
      </c>
    </row>
    <row r="76" spans="1:19" ht="23.25" customHeight="1" x14ac:dyDescent="0.25">
      <c r="A76" s="41" t="str">
        <f>VLOOKUP(B76,[1]ДовКЕКВ!A$1:B$65536,2,FALSE)</f>
        <v>Капітальне будівництво (придбання)</v>
      </c>
      <c r="B76" s="42">
        <v>3120</v>
      </c>
      <c r="C76" s="36">
        <f>SUM(C77:C78)</f>
        <v>0</v>
      </c>
      <c r="D76" s="36">
        <f>SUM(D77:D78)</f>
        <v>0</v>
      </c>
      <c r="E76" s="37">
        <f t="shared" si="14"/>
        <v>0</v>
      </c>
      <c r="F76" s="47">
        <f>SUM(F77:F78)</f>
        <v>0</v>
      </c>
      <c r="G76" s="47">
        <f t="shared" ref="G76:Q76" si="19">SUM(G77:G78)</f>
        <v>0</v>
      </c>
      <c r="H76" s="47">
        <f t="shared" si="19"/>
        <v>0</v>
      </c>
      <c r="I76" s="47">
        <f t="shared" si="19"/>
        <v>0</v>
      </c>
      <c r="J76" s="47">
        <f t="shared" si="19"/>
        <v>0</v>
      </c>
      <c r="K76" s="47">
        <f t="shared" si="19"/>
        <v>0</v>
      </c>
      <c r="L76" s="47">
        <f t="shared" si="19"/>
        <v>0</v>
      </c>
      <c r="M76" s="47">
        <f t="shared" si="19"/>
        <v>0</v>
      </c>
      <c r="N76" s="47">
        <f t="shared" si="19"/>
        <v>0</v>
      </c>
      <c r="O76" s="47">
        <f t="shared" si="19"/>
        <v>0</v>
      </c>
      <c r="P76" s="47">
        <f t="shared" si="19"/>
        <v>0</v>
      </c>
      <c r="Q76" s="47">
        <f t="shared" si="19"/>
        <v>0</v>
      </c>
      <c r="R76" s="27">
        <f t="shared" si="1"/>
        <v>0</v>
      </c>
      <c r="S76" s="28">
        <f t="shared" si="2"/>
        <v>0</v>
      </c>
    </row>
    <row r="77" spans="1:19" ht="25.5" customHeight="1" x14ac:dyDescent="0.25">
      <c r="A77" s="41" t="str">
        <f>VLOOKUP(B77,[1]ДовКЕКВ!A$1:B$65536,2,FALSE)</f>
        <v>Капітальне будівництво (придбання) житла</v>
      </c>
      <c r="B77" s="42">
        <v>3121</v>
      </c>
      <c r="C77" s="45">
        <v>0</v>
      </c>
      <c r="D77" s="45">
        <v>0</v>
      </c>
      <c r="E77" s="37">
        <f t="shared" si="14"/>
        <v>0</v>
      </c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>
        <f t="shared" si="1"/>
        <v>0</v>
      </c>
      <c r="S77" s="28">
        <f t="shared" si="2"/>
        <v>0</v>
      </c>
    </row>
    <row r="78" spans="1:19" ht="24" customHeight="1" x14ac:dyDescent="0.25">
      <c r="A78" s="41" t="str">
        <f>VLOOKUP(B78,[1]ДовКЕКВ!A$1:B$65536,2,FALSE)</f>
        <v>Капітальне будівництво (придбання) інших об'єктів</v>
      </c>
      <c r="B78" s="42">
        <v>3122</v>
      </c>
      <c r="C78" s="45">
        <v>0</v>
      </c>
      <c r="D78" s="45">
        <v>0</v>
      </c>
      <c r="E78" s="37">
        <f t="shared" si="14"/>
        <v>0</v>
      </c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7">
        <f t="shared" si="1"/>
        <v>0</v>
      </c>
      <c r="S78" s="28">
        <f t="shared" si="2"/>
        <v>0</v>
      </c>
    </row>
    <row r="79" spans="1:19" ht="22.5" customHeight="1" x14ac:dyDescent="0.25">
      <c r="A79" s="41" t="str">
        <f>VLOOKUP(B79,[1]ДовКЕКВ!A$1:B$65536,2,FALSE)</f>
        <v>Капітальний ремонт</v>
      </c>
      <c r="B79" s="42">
        <v>3130</v>
      </c>
      <c r="C79" s="36">
        <f>SUM(C80:C81)</f>
        <v>0</v>
      </c>
      <c r="D79" s="36">
        <f>SUM(D80:D81)</f>
        <v>0</v>
      </c>
      <c r="E79" s="37">
        <f t="shared" si="14"/>
        <v>0</v>
      </c>
      <c r="F79" s="26">
        <f>SUM(F80:F81)</f>
        <v>0</v>
      </c>
      <c r="G79" s="26">
        <f t="shared" ref="G79:Q79" si="20">SUM(G80:G81)</f>
        <v>0</v>
      </c>
      <c r="H79" s="26">
        <f t="shared" si="20"/>
        <v>0</v>
      </c>
      <c r="I79" s="26">
        <f t="shared" si="20"/>
        <v>0</v>
      </c>
      <c r="J79" s="26">
        <f t="shared" si="20"/>
        <v>0</v>
      </c>
      <c r="K79" s="26">
        <f t="shared" si="20"/>
        <v>0</v>
      </c>
      <c r="L79" s="26">
        <f t="shared" si="20"/>
        <v>0</v>
      </c>
      <c r="M79" s="26">
        <f t="shared" si="20"/>
        <v>0</v>
      </c>
      <c r="N79" s="26">
        <f t="shared" si="20"/>
        <v>0</v>
      </c>
      <c r="O79" s="26">
        <f t="shared" si="20"/>
        <v>0</v>
      </c>
      <c r="P79" s="26">
        <f t="shared" si="20"/>
        <v>0</v>
      </c>
      <c r="Q79" s="26">
        <f t="shared" si="20"/>
        <v>0</v>
      </c>
      <c r="R79" s="27">
        <f t="shared" si="1"/>
        <v>0</v>
      </c>
      <c r="S79" s="28">
        <f t="shared" si="2"/>
        <v>0</v>
      </c>
    </row>
    <row r="80" spans="1:19" ht="27" customHeight="1" x14ac:dyDescent="0.25">
      <c r="A80" s="41" t="str">
        <f>VLOOKUP(B80,[1]ДовКЕКВ!A$1:B$65536,2,FALSE)</f>
        <v>Капітальний ремонт житлового фонду (приміщень)</v>
      </c>
      <c r="B80" s="42">
        <v>3131</v>
      </c>
      <c r="C80" s="45">
        <v>0</v>
      </c>
      <c r="D80" s="45">
        <v>0</v>
      </c>
      <c r="E80" s="37">
        <f t="shared" si="14"/>
        <v>0</v>
      </c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7">
        <f t="shared" si="1"/>
        <v>0</v>
      </c>
      <c r="S80" s="28">
        <f t="shared" si="2"/>
        <v>0</v>
      </c>
    </row>
    <row r="81" spans="1:19" ht="30" customHeight="1" x14ac:dyDescent="0.25">
      <c r="A81" s="41" t="str">
        <f>VLOOKUP(B81,[1]ДовКЕКВ!A$1:B$65536,2,FALSE)</f>
        <v>Капітальний ремонт інших об'єктів</v>
      </c>
      <c r="B81" s="42">
        <v>3132</v>
      </c>
      <c r="C81" s="45">
        <v>0</v>
      </c>
      <c r="D81" s="45">
        <v>0</v>
      </c>
      <c r="E81" s="37">
        <f t="shared" si="14"/>
        <v>0</v>
      </c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7">
        <f t="shared" si="1"/>
        <v>0</v>
      </c>
      <c r="S81" s="28">
        <f t="shared" si="2"/>
        <v>0</v>
      </c>
    </row>
    <row r="82" spans="1:19" ht="26.25" customHeight="1" x14ac:dyDescent="0.25">
      <c r="A82" s="41" t="str">
        <f>VLOOKUP(B82,[1]ДовКЕКВ!A$1:B$65536,2,FALSE)</f>
        <v>Реконструкція та реставрація</v>
      </c>
      <c r="B82" s="42">
        <v>3140</v>
      </c>
      <c r="C82" s="36">
        <f>SUM(C83:C85)</f>
        <v>0</v>
      </c>
      <c r="D82" s="36">
        <f>SUM(D83:D85)</f>
        <v>0</v>
      </c>
      <c r="E82" s="37">
        <f>SUM(C82:D82)</f>
        <v>0</v>
      </c>
      <c r="F82" s="26">
        <f>SUM(F83:F85)</f>
        <v>0</v>
      </c>
      <c r="G82" s="26">
        <f t="shared" ref="G82:Q82" si="21">SUM(G83:G85)</f>
        <v>0</v>
      </c>
      <c r="H82" s="26">
        <f t="shared" si="21"/>
        <v>0</v>
      </c>
      <c r="I82" s="26">
        <f t="shared" si="21"/>
        <v>0</v>
      </c>
      <c r="J82" s="26">
        <f t="shared" si="21"/>
        <v>0</v>
      </c>
      <c r="K82" s="26">
        <f t="shared" si="21"/>
        <v>0</v>
      </c>
      <c r="L82" s="26">
        <f t="shared" si="21"/>
        <v>0</v>
      </c>
      <c r="M82" s="26">
        <f t="shared" si="21"/>
        <v>0</v>
      </c>
      <c r="N82" s="26">
        <f t="shared" si="21"/>
        <v>0</v>
      </c>
      <c r="O82" s="26">
        <f t="shared" si="21"/>
        <v>0</v>
      </c>
      <c r="P82" s="26">
        <f t="shared" si="21"/>
        <v>0</v>
      </c>
      <c r="Q82" s="26">
        <f t="shared" si="21"/>
        <v>0</v>
      </c>
      <c r="R82" s="27">
        <f t="shared" ref="R82:R99" si="22">SUM(F82:Q82)</f>
        <v>0</v>
      </c>
      <c r="S82" s="28">
        <f t="shared" ref="S82:S99" si="23">E82-R82</f>
        <v>0</v>
      </c>
    </row>
    <row r="83" spans="1:19" ht="25.5" customHeight="1" x14ac:dyDescent="0.25">
      <c r="A83" s="41" t="str">
        <f>VLOOKUP(B83,[1]ДовКЕКВ!A$1:B$65536,2,FALSE)</f>
        <v>Реконструкція житлового фонду (приміщень)</v>
      </c>
      <c r="B83" s="42">
        <v>3141</v>
      </c>
      <c r="C83" s="45">
        <v>0</v>
      </c>
      <c r="D83" s="45">
        <v>0</v>
      </c>
      <c r="E83" s="37">
        <f>SUM(C83:D83)</f>
        <v>0</v>
      </c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27">
        <f t="shared" si="22"/>
        <v>0</v>
      </c>
      <c r="S83" s="28">
        <f t="shared" si="23"/>
        <v>0</v>
      </c>
    </row>
    <row r="84" spans="1:19" ht="24" customHeight="1" x14ac:dyDescent="0.25">
      <c r="A84" s="41" t="str">
        <f>VLOOKUP(B84,[1]ДовКЕКВ!A$1:B$65536,2,FALSE)</f>
        <v>Реконструкція та реставрація інших об'єктів</v>
      </c>
      <c r="B84" s="42">
        <v>3142</v>
      </c>
      <c r="C84" s="45">
        <v>0</v>
      </c>
      <c r="D84" s="45">
        <v>0</v>
      </c>
      <c r="E84" s="37">
        <f t="shared" si="14"/>
        <v>0</v>
      </c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27">
        <f t="shared" si="22"/>
        <v>0</v>
      </c>
      <c r="S84" s="28">
        <f t="shared" si="23"/>
        <v>0</v>
      </c>
    </row>
    <row r="85" spans="1:19" ht="30" customHeight="1" x14ac:dyDescent="0.25">
      <c r="A85" s="41" t="str">
        <f>VLOOKUP(B85,[1]ДовКЕКВ!A$1:B$65536,2,FALSE)</f>
        <v>Реставрація пам'яток культури, історії та архітектури</v>
      </c>
      <c r="B85" s="42">
        <v>3143</v>
      </c>
      <c r="C85" s="45">
        <v>0</v>
      </c>
      <c r="D85" s="45">
        <v>0</v>
      </c>
      <c r="E85" s="37">
        <f t="shared" si="14"/>
        <v>0</v>
      </c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27">
        <f t="shared" si="22"/>
        <v>0</v>
      </c>
      <c r="S85" s="28">
        <f t="shared" si="23"/>
        <v>0</v>
      </c>
    </row>
    <row r="86" spans="1:19" ht="25.5" customHeight="1" x14ac:dyDescent="0.25">
      <c r="A86" s="41" t="str">
        <f>VLOOKUP(B86,[1]ДовКЕКВ!A$1:B$65536,2,FALSE)</f>
        <v>Створення державних запасів і резервів</v>
      </c>
      <c r="B86" s="42">
        <v>3150</v>
      </c>
      <c r="C86" s="45">
        <v>0</v>
      </c>
      <c r="D86" s="45">
        <v>0</v>
      </c>
      <c r="E86" s="37">
        <f t="shared" si="14"/>
        <v>0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27">
        <f t="shared" si="22"/>
        <v>0</v>
      </c>
      <c r="S86" s="28">
        <f t="shared" si="23"/>
        <v>0</v>
      </c>
    </row>
    <row r="87" spans="1:19" ht="24.75" customHeight="1" x14ac:dyDescent="0.25">
      <c r="A87" s="41" t="str">
        <f>VLOOKUP(B87,[1]ДовКЕКВ!A$1:B$65536,2,FALSE)</f>
        <v>Придбання землі та нематеріальних активів</v>
      </c>
      <c r="B87" s="42">
        <v>3160</v>
      </c>
      <c r="C87" s="45">
        <v>0</v>
      </c>
      <c r="D87" s="45">
        <v>0</v>
      </c>
      <c r="E87" s="37">
        <f t="shared" si="14"/>
        <v>0</v>
      </c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27">
        <f t="shared" si="22"/>
        <v>0</v>
      </c>
      <c r="S87" s="28">
        <f t="shared" si="23"/>
        <v>0</v>
      </c>
    </row>
    <row r="88" spans="1:19" ht="21.75" customHeight="1" x14ac:dyDescent="0.25">
      <c r="A88" s="41" t="str">
        <f>VLOOKUP(B88,[1]ДовКЕКВ!A$1:B$65536,2,FALSE)</f>
        <v>Капітальні трансферти</v>
      </c>
      <c r="B88" s="42">
        <v>3200</v>
      </c>
      <c r="C88" s="36">
        <f>SUM(C89:C92)</f>
        <v>0</v>
      </c>
      <c r="D88" s="36">
        <f>SUM(D89:D92)</f>
        <v>0</v>
      </c>
      <c r="E88" s="37">
        <f t="shared" si="14"/>
        <v>0</v>
      </c>
      <c r="F88" s="47">
        <f>SUM(F89:F92)</f>
        <v>0</v>
      </c>
      <c r="G88" s="47">
        <f t="shared" ref="G88:Q88" si="24">SUM(G89:G92)</f>
        <v>0</v>
      </c>
      <c r="H88" s="47">
        <f t="shared" si="24"/>
        <v>0</v>
      </c>
      <c r="I88" s="47">
        <f t="shared" si="24"/>
        <v>0</v>
      </c>
      <c r="J88" s="47">
        <f t="shared" si="24"/>
        <v>0</v>
      </c>
      <c r="K88" s="47">
        <f t="shared" si="24"/>
        <v>0</v>
      </c>
      <c r="L88" s="47">
        <f t="shared" si="24"/>
        <v>0</v>
      </c>
      <c r="M88" s="47">
        <f t="shared" si="24"/>
        <v>0</v>
      </c>
      <c r="N88" s="47">
        <f t="shared" si="24"/>
        <v>0</v>
      </c>
      <c r="O88" s="47">
        <f t="shared" si="24"/>
        <v>0</v>
      </c>
      <c r="P88" s="47">
        <f t="shared" si="24"/>
        <v>0</v>
      </c>
      <c r="Q88" s="47">
        <f t="shared" si="24"/>
        <v>0</v>
      </c>
      <c r="R88" s="27">
        <f t="shared" si="22"/>
        <v>0</v>
      </c>
      <c r="S88" s="28">
        <f t="shared" si="23"/>
        <v>0</v>
      </c>
    </row>
    <row r="89" spans="1:19" ht="24" customHeight="1" x14ac:dyDescent="0.25">
      <c r="A89" s="41" t="str">
        <f>VLOOKUP(B89,[1]ДовКЕКВ!A$1:B$65536,2,FALSE)</f>
        <v>Капітальні трансферти підприємствам (установам, організаціям)</v>
      </c>
      <c r="B89" s="42">
        <v>3210</v>
      </c>
      <c r="C89" s="45">
        <v>0</v>
      </c>
      <c r="D89" s="45">
        <v>0</v>
      </c>
      <c r="E89" s="37">
        <f t="shared" si="14"/>
        <v>0</v>
      </c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27">
        <f t="shared" si="22"/>
        <v>0</v>
      </c>
      <c r="S89" s="28">
        <f t="shared" si="23"/>
        <v>0</v>
      </c>
    </row>
    <row r="90" spans="1:19" ht="28.5" customHeight="1" x14ac:dyDescent="0.25">
      <c r="A90" s="41" t="str">
        <f>VLOOKUP(B90,[1]ДовКЕКВ!A$1:B$65536,2,FALSE)</f>
        <v>Капітальні трансферти органам державного управління інших рівнів</v>
      </c>
      <c r="B90" s="42">
        <v>3220</v>
      </c>
      <c r="C90" s="45">
        <v>0</v>
      </c>
      <c r="D90" s="45">
        <v>0</v>
      </c>
      <c r="E90" s="37">
        <f t="shared" si="14"/>
        <v>0</v>
      </c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27">
        <f t="shared" si="22"/>
        <v>0</v>
      </c>
      <c r="S90" s="28">
        <f t="shared" si="23"/>
        <v>0</v>
      </c>
    </row>
    <row r="91" spans="1:19" ht="29.25" customHeight="1" x14ac:dyDescent="0.25">
      <c r="A91" s="41" t="str">
        <f>VLOOKUP(B91,[1]ДовКЕКВ!A$1:B$65536,2,FALSE)</f>
        <v>Капітальні трансферти урядам іноземних держав та міжнародним організаціям</v>
      </c>
      <c r="B91" s="42">
        <v>3230</v>
      </c>
      <c r="C91" s="45"/>
      <c r="D91" s="45"/>
      <c r="E91" s="37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27">
        <f t="shared" si="22"/>
        <v>0</v>
      </c>
      <c r="S91" s="28">
        <f t="shared" si="23"/>
        <v>0</v>
      </c>
    </row>
    <row r="92" spans="1:19" ht="25.5" customHeight="1" x14ac:dyDescent="0.25">
      <c r="A92" s="41" t="str">
        <f>VLOOKUP(B92,[1]ДовКЕКВ!A$1:B$65536,2,FALSE)</f>
        <v>Капітальні трансферти населенню</v>
      </c>
      <c r="B92" s="42">
        <v>3240</v>
      </c>
      <c r="C92" s="45">
        <v>0</v>
      </c>
      <c r="D92" s="45">
        <v>0</v>
      </c>
      <c r="E92" s="37">
        <f t="shared" si="14"/>
        <v>0</v>
      </c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27">
        <f t="shared" si="22"/>
        <v>0</v>
      </c>
      <c r="S92" s="28">
        <f t="shared" si="23"/>
        <v>0</v>
      </c>
    </row>
    <row r="93" spans="1:19" x14ac:dyDescent="0.25">
      <c r="A93" s="58"/>
      <c r="B93" s="42"/>
      <c r="C93" s="45"/>
      <c r="D93" s="45"/>
      <c r="E93" s="37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27">
        <f t="shared" si="22"/>
        <v>0</v>
      </c>
      <c r="S93" s="28">
        <f t="shared" si="23"/>
        <v>0</v>
      </c>
    </row>
    <row r="94" spans="1:19" ht="33" customHeight="1" x14ac:dyDescent="0.25">
      <c r="A94" s="59" t="str">
        <f>VLOOKUP(B94,[1]ДовКреди!A$1:B$65536,2,FALSE)</f>
        <v>Надання внутрішніх кредитів </v>
      </c>
      <c r="B94" s="60">
        <v>4110</v>
      </c>
      <c r="C94" s="36">
        <f>SUM(C95:C97)</f>
        <v>0</v>
      </c>
      <c r="D94" s="36">
        <f>SUM(D95:D97)</f>
        <v>0</v>
      </c>
      <c r="E94" s="37"/>
      <c r="F94" s="56">
        <f>SUM(F95:F97)</f>
        <v>0</v>
      </c>
      <c r="G94" s="56">
        <f t="shared" ref="G94:Q94" si="25">SUM(G95:G97)</f>
        <v>0</v>
      </c>
      <c r="H94" s="56">
        <f t="shared" si="25"/>
        <v>0</v>
      </c>
      <c r="I94" s="56">
        <f t="shared" si="25"/>
        <v>0</v>
      </c>
      <c r="J94" s="56">
        <f t="shared" si="25"/>
        <v>0</v>
      </c>
      <c r="K94" s="56">
        <f t="shared" si="25"/>
        <v>0</v>
      </c>
      <c r="L94" s="56">
        <f t="shared" si="25"/>
        <v>0</v>
      </c>
      <c r="M94" s="56">
        <f t="shared" si="25"/>
        <v>0</v>
      </c>
      <c r="N94" s="56">
        <f t="shared" si="25"/>
        <v>0</v>
      </c>
      <c r="O94" s="56">
        <f t="shared" si="25"/>
        <v>0</v>
      </c>
      <c r="P94" s="56">
        <f t="shared" si="25"/>
        <v>0</v>
      </c>
      <c r="Q94" s="56">
        <f t="shared" si="25"/>
        <v>0</v>
      </c>
      <c r="R94" s="27">
        <f t="shared" si="22"/>
        <v>0</v>
      </c>
      <c r="S94" s="28">
        <f t="shared" si="23"/>
        <v>0</v>
      </c>
    </row>
    <row r="95" spans="1:19" ht="29.25" customHeight="1" x14ac:dyDescent="0.25">
      <c r="A95" s="61" t="str">
        <f>VLOOKUP(B95,[1]ДовКреди!A$1:B$65536,2,FALSE)</f>
        <v>Надання кредитів органам державного управління інших рівнів </v>
      </c>
      <c r="B95" s="24">
        <v>4111</v>
      </c>
      <c r="C95" s="45">
        <v>0</v>
      </c>
      <c r="D95" s="45">
        <v>0</v>
      </c>
      <c r="E95" s="37">
        <f t="shared" si="14"/>
        <v>0</v>
      </c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27">
        <f t="shared" si="22"/>
        <v>0</v>
      </c>
      <c r="S95" s="28">
        <f t="shared" si="23"/>
        <v>0</v>
      </c>
    </row>
    <row r="96" spans="1:19" ht="28.5" customHeight="1" x14ac:dyDescent="0.25">
      <c r="A96" s="61" t="str">
        <f>VLOOKUP(B96,[1]ДовКреди!A$1:B$65536,2,FALSE)</f>
        <v>Надання кредитів підприємствам, установам, організаціям </v>
      </c>
      <c r="B96" s="24">
        <v>4112</v>
      </c>
      <c r="C96" s="45">
        <v>0</v>
      </c>
      <c r="D96" s="45">
        <v>0</v>
      </c>
      <c r="E96" s="37">
        <f t="shared" si="14"/>
        <v>0</v>
      </c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27">
        <f t="shared" si="22"/>
        <v>0</v>
      </c>
      <c r="S96" s="28">
        <f t="shared" si="23"/>
        <v>0</v>
      </c>
    </row>
    <row r="97" spans="1:19" ht="24.75" customHeight="1" x14ac:dyDescent="0.25">
      <c r="A97" s="61" t="str">
        <f>VLOOKUP(B97,[1]ДовКреди!A$1:B$65536,2,FALSE)</f>
        <v>Надання інших внутрішніх кредитів </v>
      </c>
      <c r="B97" s="24">
        <v>4113</v>
      </c>
      <c r="C97" s="45">
        <v>0</v>
      </c>
      <c r="D97" s="45">
        <v>0</v>
      </c>
      <c r="E97" s="37">
        <f t="shared" si="14"/>
        <v>0</v>
      </c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27">
        <f t="shared" si="22"/>
        <v>0</v>
      </c>
      <c r="S97" s="28">
        <f t="shared" si="23"/>
        <v>0</v>
      </c>
    </row>
    <row r="98" spans="1:19" ht="31.5" customHeight="1" x14ac:dyDescent="0.25">
      <c r="A98" s="59" t="str">
        <f>VLOOKUP(B98,[1]ДовКреди!A$1:B$65536,2,FALSE)</f>
        <v>Надання зовнішніх кредитів </v>
      </c>
      <c r="B98" s="60">
        <v>4210</v>
      </c>
      <c r="C98" s="45">
        <v>0</v>
      </c>
      <c r="D98" s="45">
        <v>0</v>
      </c>
      <c r="E98" s="37">
        <f>SUM(C98:D98)</f>
        <v>0</v>
      </c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27">
        <f t="shared" si="22"/>
        <v>0</v>
      </c>
      <c r="S98" s="28">
        <f t="shared" si="23"/>
        <v>0</v>
      </c>
    </row>
    <row r="99" spans="1:19" ht="24" customHeight="1" x14ac:dyDescent="0.25">
      <c r="A99" s="58" t="str">
        <f>VLOOKUP(B99,[1]ДовКЕКВ!A$1:B$65536,2,FALSE)</f>
        <v>Нерозподілені видатки</v>
      </c>
      <c r="B99" s="42">
        <v>9000</v>
      </c>
      <c r="C99" s="45">
        <v>0</v>
      </c>
      <c r="D99" s="45">
        <v>0</v>
      </c>
      <c r="E99" s="37">
        <f>SUM(C99:D99)</f>
        <v>0</v>
      </c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27">
        <f t="shared" si="22"/>
        <v>0</v>
      </c>
      <c r="S99" s="28">
        <f t="shared" si="23"/>
        <v>0</v>
      </c>
    </row>
  </sheetData>
  <mergeCells count="21">
    <mergeCell ref="A9:E9"/>
    <mergeCell ref="A1:E1"/>
    <mergeCell ref="A2:E2"/>
    <mergeCell ref="A3:E3"/>
    <mergeCell ref="F3:J3"/>
    <mergeCell ref="A4:E4"/>
    <mergeCell ref="A5:E5"/>
    <mergeCell ref="F5:J5"/>
    <mergeCell ref="A6:E6"/>
    <mergeCell ref="F6:J6"/>
    <mergeCell ref="A7:E7"/>
    <mergeCell ref="F7:J7"/>
    <mergeCell ref="A8:E8"/>
    <mergeCell ref="F14:R14"/>
    <mergeCell ref="A35:A36"/>
    <mergeCell ref="A10:E10"/>
    <mergeCell ref="A11:E11"/>
    <mergeCell ref="A14:A15"/>
    <mergeCell ref="B14:B15"/>
    <mergeCell ref="C14:D14"/>
    <mergeCell ref="E14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2017-11-27T12:43:35Z</dcterms:modified>
</cp:coreProperties>
</file>